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D2C3EF31-C15E-4773-A55B-05E3B858ED5D}" xr6:coauthVersionLast="47" xr6:coauthVersionMax="47" xr10:uidLastSave="{00000000-0000-0000-0000-000000000000}"/>
  <bookViews>
    <workbookView xWindow="-120" yWindow="-120" windowWidth="29040" windowHeight="15840" firstSheet="2" activeTab="2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  <sheet name="ESF - Situación Financiera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Comprobación'!$A$11:$Y$172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_FilterDatabase" localSheetId="6" hidden="1">'ESF - Situación Financiera'!$B$19:$N$75</definedName>
    <definedName name="_xlnm.Print_Area" localSheetId="2">' ERF-Rendimiento Financiero'!$C$1:$H$49</definedName>
    <definedName name="_xlnm.Print_Area" localSheetId="1">'BC Balance Comprobación'!$C$5:$F$171</definedName>
    <definedName name="_xlnm.Print_Area" localSheetId="3">'ECANP-Cambio Patrimonio'!$A$1:$I$31</definedName>
    <definedName name="_xlnm.Print_Area" localSheetId="4">'EFE-Flujo de Efectivo'!$A$1:$J$73</definedName>
    <definedName name="_xlnm.Print_Area" localSheetId="6">'ESF - Situación Financiera'!$B$2:$F$80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D112" i="1"/>
  <c r="D68" i="1"/>
  <c r="D49" i="1"/>
  <c r="G8" i="1" l="1"/>
  <c r="D25" i="1" l="1"/>
  <c r="H6" i="1"/>
  <c r="H8" i="4" l="1"/>
  <c r="F16" i="2" l="1"/>
  <c r="C18" i="3" l="1"/>
  <c r="C17" i="3"/>
  <c r="C14" i="3"/>
  <c r="F18" i="2"/>
  <c r="F17" i="2"/>
  <c r="F15" i="2"/>
  <c r="I142" i="1"/>
  <c r="I74" i="1"/>
  <c r="I73" i="1"/>
  <c r="F10" i="2" l="1"/>
  <c r="F24" i="1" l="1"/>
  <c r="F9" i="2" l="1"/>
  <c r="F36" i="5" l="1"/>
  <c r="F26" i="5" l="1"/>
  <c r="G27" i="1"/>
  <c r="J12" i="7"/>
  <c r="J10" i="7"/>
  <c r="I13" i="7"/>
  <c r="H13" i="7"/>
  <c r="H11" i="7"/>
  <c r="F27" i="1"/>
  <c r="F26" i="1"/>
  <c r="C59" i="3" l="1"/>
  <c r="F49" i="5" l="1"/>
  <c r="F46" i="5"/>
  <c r="C44" i="3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E60" i="6"/>
  <c r="F54" i="6"/>
  <c r="E55" i="6"/>
  <c r="D55" i="6"/>
  <c r="C26" i="3" l="1"/>
  <c r="C61" i="3" s="1"/>
  <c r="C63" i="3" s="1"/>
  <c r="J71" i="5"/>
  <c r="I70" i="5"/>
  <c r="C69" i="5"/>
  <c r="C68" i="5"/>
  <c r="F67" i="5"/>
  <c r="L67" i="5" s="1"/>
  <c r="J66" i="5"/>
  <c r="J65" i="5"/>
  <c r="L63" i="5"/>
  <c r="J63" i="5"/>
  <c r="H62" i="5"/>
  <c r="F62" i="5"/>
  <c r="H61" i="5"/>
  <c r="F61" i="5"/>
  <c r="H60" i="5"/>
  <c r="F60" i="5"/>
  <c r="H59" i="5"/>
  <c r="F59" i="5"/>
  <c r="H58" i="5"/>
  <c r="F58" i="5"/>
  <c r="H57" i="5"/>
  <c r="F57" i="5"/>
  <c r="L56" i="5"/>
  <c r="I56" i="5"/>
  <c r="J56" i="5" s="1"/>
  <c r="C56" i="5"/>
  <c r="J55" i="5"/>
  <c r="I54" i="5"/>
  <c r="I64" i="5" s="1"/>
  <c r="C54" i="5"/>
  <c r="C64" i="5" s="1"/>
  <c r="L53" i="5"/>
  <c r="J53" i="5"/>
  <c r="F52" i="5"/>
  <c r="L52" i="5" s="1"/>
  <c r="H51" i="5"/>
  <c r="F51" i="5"/>
  <c r="H50" i="5"/>
  <c r="F50" i="5"/>
  <c r="L49" i="5"/>
  <c r="J49" i="5"/>
  <c r="F48" i="5"/>
  <c r="L48" i="5" s="1"/>
  <c r="F47" i="5"/>
  <c r="L47" i="5" s="1"/>
  <c r="L46" i="5"/>
  <c r="L45" i="5"/>
  <c r="J44" i="5"/>
  <c r="J43" i="5"/>
  <c r="J42" i="5"/>
  <c r="J40" i="5"/>
  <c r="I39" i="5"/>
  <c r="I41" i="5" s="1"/>
  <c r="F39" i="5"/>
  <c r="H38" i="5"/>
  <c r="F38" i="5"/>
  <c r="H37" i="5"/>
  <c r="F37" i="5"/>
  <c r="L36" i="5"/>
  <c r="J36" i="5"/>
  <c r="C36" i="5"/>
  <c r="C39" i="5" s="1"/>
  <c r="H35" i="5"/>
  <c r="F35" i="5"/>
  <c r="H34" i="5"/>
  <c r="F34" i="5"/>
  <c r="H33" i="5"/>
  <c r="F33" i="5"/>
  <c r="H32" i="5"/>
  <c r="F32" i="5"/>
  <c r="J31" i="5"/>
  <c r="J30" i="5"/>
  <c r="I29" i="5"/>
  <c r="C29" i="5"/>
  <c r="H28" i="5"/>
  <c r="F28" i="5"/>
  <c r="H27" i="5"/>
  <c r="L26" i="5"/>
  <c r="J26" i="5"/>
  <c r="H25" i="5"/>
  <c r="L25" i="5" s="1"/>
  <c r="H24" i="5"/>
  <c r="F24" i="5"/>
  <c r="H23" i="5"/>
  <c r="F23" i="5"/>
  <c r="H19" i="5"/>
  <c r="H17" i="4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8" i="1"/>
  <c r="W187" i="1"/>
  <c r="W186" i="1"/>
  <c r="W185" i="1"/>
  <c r="W184" i="1"/>
  <c r="W183" i="1"/>
  <c r="W182" i="1"/>
  <c r="W181" i="1"/>
  <c r="J181" i="1"/>
  <c r="W180" i="1"/>
  <c r="J180" i="1"/>
  <c r="W179" i="1"/>
  <c r="J179" i="1"/>
  <c r="W178" i="1"/>
  <c r="J178" i="1"/>
  <c r="W177" i="1"/>
  <c r="J177" i="1"/>
  <c r="W176" i="1"/>
  <c r="J176" i="1"/>
  <c r="F176" i="1"/>
  <c r="E176" i="1"/>
  <c r="W175" i="1"/>
  <c r="J175" i="1"/>
  <c r="W174" i="1"/>
  <c r="J174" i="1"/>
  <c r="W173" i="1"/>
  <c r="U173" i="1"/>
  <c r="J173" i="1"/>
  <c r="K172" i="1"/>
  <c r="K2" i="1" s="1"/>
  <c r="J172" i="1"/>
  <c r="U171" i="1"/>
  <c r="J171" i="1"/>
  <c r="F171" i="1"/>
  <c r="F3" i="1" s="1"/>
  <c r="M170" i="1"/>
  <c r="J170" i="1"/>
  <c r="I170" i="1"/>
  <c r="E170" i="1"/>
  <c r="M169" i="1"/>
  <c r="J169" i="1"/>
  <c r="I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U163" i="1"/>
  <c r="M163" i="1"/>
  <c r="J163" i="1"/>
  <c r="M162" i="1"/>
  <c r="J162" i="1"/>
  <c r="U161" i="1"/>
  <c r="M161" i="1"/>
  <c r="J161" i="1"/>
  <c r="AA160" i="1"/>
  <c r="M160" i="1"/>
  <c r="J160" i="1"/>
  <c r="I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AA150" i="1"/>
  <c r="M150" i="1"/>
  <c r="J150" i="1"/>
  <c r="I150" i="1"/>
  <c r="AA149" i="1"/>
  <c r="M149" i="1"/>
  <c r="J149" i="1"/>
  <c r="I149" i="1"/>
  <c r="AA148" i="1"/>
  <c r="M148" i="1"/>
  <c r="J148" i="1"/>
  <c r="I148" i="1"/>
  <c r="AA147" i="1"/>
  <c r="M147" i="1"/>
  <c r="J147" i="1"/>
  <c r="AA146" i="1"/>
  <c r="M146" i="1"/>
  <c r="J146" i="1"/>
  <c r="I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1" i="1"/>
  <c r="M141" i="1"/>
  <c r="J141" i="1"/>
  <c r="I141" i="1"/>
  <c r="AA140" i="1"/>
  <c r="M140" i="1"/>
  <c r="J140" i="1"/>
  <c r="I140" i="1"/>
  <c r="AA139" i="1"/>
  <c r="M139" i="1"/>
  <c r="N139" i="1" s="1"/>
  <c r="W139" i="1" s="1"/>
  <c r="AA138" i="1"/>
  <c r="M138" i="1"/>
  <c r="J138" i="1"/>
  <c r="I138" i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N129" i="1" s="1"/>
  <c r="O129" i="1" s="1"/>
  <c r="AA128" i="1"/>
  <c r="M128" i="1"/>
  <c r="J128" i="1"/>
  <c r="I128" i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N123" i="1" s="1"/>
  <c r="AA122" i="1"/>
  <c r="M122" i="1"/>
  <c r="J122" i="1"/>
  <c r="I122" i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N118" i="1" s="1"/>
  <c r="AA117" i="1"/>
  <c r="M117" i="1"/>
  <c r="J117" i="1"/>
  <c r="I117" i="1"/>
  <c r="AA116" i="1"/>
  <c r="M116" i="1"/>
  <c r="J116" i="1"/>
  <c r="I116" i="1"/>
  <c r="AA115" i="1"/>
  <c r="M115" i="1"/>
  <c r="J115" i="1"/>
  <c r="I115" i="1"/>
  <c r="AA114" i="1"/>
  <c r="M114" i="1"/>
  <c r="N114" i="1" s="1"/>
  <c r="AA113" i="1"/>
  <c r="M113" i="1"/>
  <c r="J113" i="1"/>
  <c r="I113" i="1"/>
  <c r="AA112" i="1"/>
  <c r="M112" i="1"/>
  <c r="J112" i="1"/>
  <c r="I112" i="1"/>
  <c r="AA111" i="1"/>
  <c r="M111" i="1"/>
  <c r="N111" i="1" s="1"/>
  <c r="AA110" i="1"/>
  <c r="M110" i="1"/>
  <c r="N110" i="1" s="1"/>
  <c r="O110" i="1" s="1"/>
  <c r="W110" i="1" s="1"/>
  <c r="M109" i="1"/>
  <c r="J109" i="1"/>
  <c r="I109" i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N98" i="1" s="1"/>
  <c r="M97" i="1"/>
  <c r="J97" i="1"/>
  <c r="I97" i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N91" i="1" s="1"/>
  <c r="P91" i="1" s="1"/>
  <c r="M90" i="1"/>
  <c r="J90" i="1"/>
  <c r="I90" i="1"/>
  <c r="M89" i="1"/>
  <c r="J89" i="1"/>
  <c r="I89" i="1"/>
  <c r="M88" i="1"/>
  <c r="N88" i="1" s="1"/>
  <c r="M87" i="1"/>
  <c r="J87" i="1"/>
  <c r="I87" i="1"/>
  <c r="M86" i="1"/>
  <c r="J86" i="1"/>
  <c r="I86" i="1"/>
  <c r="M85" i="1"/>
  <c r="J85" i="1"/>
  <c r="I85" i="1"/>
  <c r="M84" i="1"/>
  <c r="N84" i="1" s="1"/>
  <c r="O84" i="1" s="1"/>
  <c r="Y84" i="1" s="1"/>
  <c r="M83" i="1"/>
  <c r="J83" i="1"/>
  <c r="I83" i="1"/>
  <c r="M82" i="1"/>
  <c r="J82" i="1"/>
  <c r="I82" i="1"/>
  <c r="M81" i="1"/>
  <c r="N81" i="1" s="1"/>
  <c r="O81" i="1" s="1"/>
  <c r="Y81" i="1" s="1"/>
  <c r="M80" i="1"/>
  <c r="J80" i="1"/>
  <c r="I80" i="1"/>
  <c r="M79" i="1"/>
  <c r="J79" i="1"/>
  <c r="I79" i="1"/>
  <c r="M78" i="1"/>
  <c r="N78" i="1" s="1"/>
  <c r="O78" i="1" s="1"/>
  <c r="Y78" i="1" s="1"/>
  <c r="M77" i="1"/>
  <c r="J77" i="1"/>
  <c r="I77" i="1"/>
  <c r="M76" i="1"/>
  <c r="J76" i="1"/>
  <c r="I76" i="1"/>
  <c r="M75" i="1"/>
  <c r="N75" i="1" s="1"/>
  <c r="O75" i="1" s="1"/>
  <c r="Y75" i="1" s="1"/>
  <c r="M72" i="1"/>
  <c r="J72" i="1"/>
  <c r="I72" i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N67" i="1" s="1"/>
  <c r="M66" i="1"/>
  <c r="N66" i="1" s="1"/>
  <c r="M65" i="1"/>
  <c r="J65" i="1"/>
  <c r="I65" i="1"/>
  <c r="M64" i="1"/>
  <c r="J64" i="1"/>
  <c r="I64" i="1"/>
  <c r="M63" i="1"/>
  <c r="J63" i="1"/>
  <c r="I63" i="1"/>
  <c r="M62" i="1"/>
  <c r="N62" i="1" s="1"/>
  <c r="M61" i="1"/>
  <c r="J61" i="1"/>
  <c r="I61" i="1"/>
  <c r="M60" i="1"/>
  <c r="N60" i="1" s="1"/>
  <c r="M59" i="1"/>
  <c r="J59" i="1"/>
  <c r="I59" i="1"/>
  <c r="M58" i="1"/>
  <c r="J58" i="1"/>
  <c r="I58" i="1"/>
  <c r="M56" i="1"/>
  <c r="J56" i="1"/>
  <c r="I56" i="1"/>
  <c r="M55" i="1"/>
  <c r="N55" i="1" s="1"/>
  <c r="P55" i="1" s="1"/>
  <c r="M54" i="1"/>
  <c r="J54" i="1"/>
  <c r="I54" i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N48" i="1"/>
  <c r="N47" i="1"/>
  <c r="P47" i="1" s="1"/>
  <c r="N46" i="1"/>
  <c r="T46" i="1" s="1"/>
  <c r="Y46" i="1" s="1"/>
  <c r="M45" i="1"/>
  <c r="N45" i="1" s="1"/>
  <c r="P45" i="1" s="1"/>
  <c r="J44" i="1"/>
  <c r="N44" i="1" s="1"/>
  <c r="P44" i="1" s="1"/>
  <c r="I44" i="1"/>
  <c r="M42" i="1"/>
  <c r="J42" i="1"/>
  <c r="M41" i="1"/>
  <c r="J41" i="1"/>
  <c r="J40" i="1"/>
  <c r="N40" i="1" s="1"/>
  <c r="J39" i="1"/>
  <c r="N39" i="1" s="1"/>
  <c r="P39" i="1" s="1"/>
  <c r="J38" i="1"/>
  <c r="N38" i="1" s="1"/>
  <c r="P38" i="1" s="1"/>
  <c r="I38" i="1"/>
  <c r="M37" i="1"/>
  <c r="I37" i="1"/>
  <c r="M36" i="1"/>
  <c r="I36" i="1"/>
  <c r="D36" i="1"/>
  <c r="J36" i="1" s="1"/>
  <c r="M35" i="1"/>
  <c r="D35" i="1"/>
  <c r="J35" i="1" s="1"/>
  <c r="N34" i="1"/>
  <c r="T34" i="1" s="1"/>
  <c r="N33" i="1"/>
  <c r="T33" i="1" s="1"/>
  <c r="G33" i="1"/>
  <c r="M32" i="1"/>
  <c r="J32" i="1"/>
  <c r="I32" i="1"/>
  <c r="G32" i="1"/>
  <c r="J31" i="1"/>
  <c r="N31" i="1" s="1"/>
  <c r="T31" i="1" s="1"/>
  <c r="I31" i="1"/>
  <c r="G31" i="1"/>
  <c r="N30" i="1"/>
  <c r="N29" i="1"/>
  <c r="T29" i="1" s="1"/>
  <c r="J28" i="1"/>
  <c r="N28" i="1" s="1"/>
  <c r="I28" i="1"/>
  <c r="J27" i="1"/>
  <c r="N27" i="1" s="1"/>
  <c r="P27" i="1" s="1"/>
  <c r="I27" i="1"/>
  <c r="Q26" i="1"/>
  <c r="M26" i="1"/>
  <c r="J26" i="1"/>
  <c r="I26" i="1"/>
  <c r="M25" i="1"/>
  <c r="J25" i="1"/>
  <c r="I25" i="1"/>
  <c r="Q24" i="1"/>
  <c r="J24" i="1"/>
  <c r="N24" i="1" s="1"/>
  <c r="O24" i="1" s="1"/>
  <c r="W24" i="1" s="1"/>
  <c r="M23" i="1"/>
  <c r="J23" i="1"/>
  <c r="I23" i="1"/>
  <c r="J22" i="1"/>
  <c r="N22" i="1" s="1"/>
  <c r="I22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L39" i="5" l="1"/>
  <c r="F68" i="5"/>
  <c r="J68" i="5" s="1"/>
  <c r="D37" i="1"/>
  <c r="J37" i="1" s="1"/>
  <c r="N37" i="1" s="1"/>
  <c r="P37" i="1" s="1"/>
  <c r="I72" i="5"/>
  <c r="L3" i="1"/>
  <c r="N149" i="1"/>
  <c r="W149" i="1" s="1"/>
  <c r="N92" i="1"/>
  <c r="W92" i="1" s="1"/>
  <c r="N96" i="1"/>
  <c r="P96" i="1" s="1"/>
  <c r="N102" i="1"/>
  <c r="P102" i="1" s="1"/>
  <c r="N106" i="1"/>
  <c r="O106" i="1" s="1"/>
  <c r="W106" i="1" s="1"/>
  <c r="Y106" i="1" s="1"/>
  <c r="N112" i="1"/>
  <c r="W112" i="1" s="1"/>
  <c r="N113" i="1"/>
  <c r="P113" i="1" s="1"/>
  <c r="N32" i="1"/>
  <c r="O32" i="1" s="1"/>
  <c r="N83" i="1"/>
  <c r="O83" i="1" s="1"/>
  <c r="W83" i="1" s="1"/>
  <c r="Y83" i="1" s="1"/>
  <c r="N143" i="1"/>
  <c r="W143" i="1" s="1"/>
  <c r="N169" i="1"/>
  <c r="X169" i="1" s="1"/>
  <c r="Y173" i="1"/>
  <c r="N144" i="1"/>
  <c r="W144" i="1" s="1"/>
  <c r="N87" i="1"/>
  <c r="O87" i="1" s="1"/>
  <c r="W87" i="1" s="1"/>
  <c r="Y87" i="1" s="1"/>
  <c r="N64" i="1"/>
  <c r="O64" i="1" s="1"/>
  <c r="V64" i="1" s="1"/>
  <c r="N86" i="1"/>
  <c r="P86" i="1" s="1"/>
  <c r="N100" i="1"/>
  <c r="P100" i="1" s="1"/>
  <c r="N104" i="1"/>
  <c r="P104" i="1" s="1"/>
  <c r="N124" i="1"/>
  <c r="O124" i="1" s="1"/>
  <c r="S124" i="1" s="1"/>
  <c r="N125" i="1"/>
  <c r="W125" i="1" s="1"/>
  <c r="N126" i="1"/>
  <c r="O126" i="1" s="1"/>
  <c r="N140" i="1"/>
  <c r="W140" i="1" s="1"/>
  <c r="N141" i="1"/>
  <c r="W141" i="1" s="1"/>
  <c r="N147" i="1"/>
  <c r="O147" i="1" s="1"/>
  <c r="N148" i="1"/>
  <c r="N153" i="1"/>
  <c r="W153" i="1" s="1"/>
  <c r="N156" i="1"/>
  <c r="W156" i="1" s="1"/>
  <c r="N157" i="1"/>
  <c r="W157" i="1" s="1"/>
  <c r="N163" i="1"/>
  <c r="X163" i="1" s="1"/>
  <c r="N164" i="1"/>
  <c r="X164" i="1" s="1"/>
  <c r="N172" i="1"/>
  <c r="O172" i="1" s="1"/>
  <c r="Y172" i="1" s="1"/>
  <c r="N122" i="1"/>
  <c r="O122" i="1" s="1"/>
  <c r="U122" i="1" s="1"/>
  <c r="N132" i="1"/>
  <c r="O132" i="1" s="1"/>
  <c r="P87" i="1"/>
  <c r="S87" i="1" s="1"/>
  <c r="N136" i="1"/>
  <c r="W136" i="1" s="1"/>
  <c r="N50" i="1"/>
  <c r="P50" i="1" s="1"/>
  <c r="N56" i="1"/>
  <c r="O56" i="1" s="1"/>
  <c r="U56" i="1" s="1"/>
  <c r="Y56" i="1" s="1"/>
  <c r="N65" i="1"/>
  <c r="O65" i="1" s="1"/>
  <c r="V65" i="1" s="1"/>
  <c r="N80" i="1"/>
  <c r="P80" i="1" s="1"/>
  <c r="N82" i="1"/>
  <c r="O82" i="1" s="1"/>
  <c r="W82" i="1" s="1"/>
  <c r="Y82" i="1" s="1"/>
  <c r="N93" i="1"/>
  <c r="P93" i="1" s="1"/>
  <c r="N97" i="1"/>
  <c r="O97" i="1" s="1"/>
  <c r="W97" i="1" s="1"/>
  <c r="Y97" i="1" s="1"/>
  <c r="N99" i="1"/>
  <c r="P99" i="1" s="1"/>
  <c r="N107" i="1"/>
  <c r="P107" i="1" s="1"/>
  <c r="N137" i="1"/>
  <c r="W137" i="1" s="1"/>
  <c r="N70" i="1"/>
  <c r="P70" i="1" s="1"/>
  <c r="N35" i="1"/>
  <c r="O35" i="1" s="1"/>
  <c r="N52" i="1"/>
  <c r="O52" i="1" s="1"/>
  <c r="U52" i="1" s="1"/>
  <c r="N59" i="1"/>
  <c r="O59" i="1" s="1"/>
  <c r="U59" i="1" s="1"/>
  <c r="Y59" i="1" s="1"/>
  <c r="N69" i="1"/>
  <c r="O69" i="1" s="1"/>
  <c r="W69" i="1" s="1"/>
  <c r="Y69" i="1" s="1"/>
  <c r="N72" i="1"/>
  <c r="P72" i="1" s="1"/>
  <c r="N79" i="1"/>
  <c r="O79" i="1" s="1"/>
  <c r="W79" i="1" s="1"/>
  <c r="Y79" i="1" s="1"/>
  <c r="P83" i="1"/>
  <c r="S83" i="1" s="1"/>
  <c r="N89" i="1"/>
  <c r="O89" i="1" s="1"/>
  <c r="W89" i="1" s="1"/>
  <c r="Y89" i="1" s="1"/>
  <c r="N120" i="1"/>
  <c r="O120" i="1" s="1"/>
  <c r="N121" i="1"/>
  <c r="P121" i="1" s="1"/>
  <c r="N131" i="1"/>
  <c r="W131" i="1" s="1"/>
  <c r="N133" i="1"/>
  <c r="O133" i="1" s="1"/>
  <c r="S133" i="1" s="1"/>
  <c r="N135" i="1"/>
  <c r="O135" i="1" s="1"/>
  <c r="N145" i="1"/>
  <c r="O145" i="1" s="1"/>
  <c r="N146" i="1"/>
  <c r="O146" i="1" s="1"/>
  <c r="T27" i="1"/>
  <c r="P46" i="1"/>
  <c r="S46" i="1" s="1"/>
  <c r="N53" i="1"/>
  <c r="O53" i="1" s="1"/>
  <c r="S17" i="1"/>
  <c r="N41" i="1"/>
  <c r="P41" i="1" s="1"/>
  <c r="N51" i="1"/>
  <c r="P51" i="1" s="1"/>
  <c r="P52" i="1"/>
  <c r="N23" i="1"/>
  <c r="O23" i="1" s="1"/>
  <c r="S23" i="1" s="1"/>
  <c r="N42" i="1"/>
  <c r="T42" i="1" s="1"/>
  <c r="N49" i="1"/>
  <c r="U49" i="1" s="1"/>
  <c r="N54" i="1"/>
  <c r="N58" i="1"/>
  <c r="O58" i="1" s="1"/>
  <c r="N61" i="1"/>
  <c r="P61" i="1" s="1"/>
  <c r="N63" i="1"/>
  <c r="V63" i="1" s="1"/>
  <c r="N68" i="1"/>
  <c r="N71" i="1"/>
  <c r="O71" i="1" s="1"/>
  <c r="W71" i="1" s="1"/>
  <c r="Y71" i="1" s="1"/>
  <c r="N76" i="1"/>
  <c r="N77" i="1"/>
  <c r="P82" i="1"/>
  <c r="S82" i="1" s="1"/>
  <c r="N85" i="1"/>
  <c r="O85" i="1" s="1"/>
  <c r="W85" i="1" s="1"/>
  <c r="Y85" i="1" s="1"/>
  <c r="N90" i="1"/>
  <c r="P90" i="1" s="1"/>
  <c r="O91" i="1"/>
  <c r="S91" i="1" s="1"/>
  <c r="W129" i="1"/>
  <c r="Y129" i="1" s="1"/>
  <c r="N154" i="1"/>
  <c r="W154" i="1" s="1"/>
  <c r="N160" i="1"/>
  <c r="W160" i="1" s="1"/>
  <c r="N165" i="1"/>
  <c r="W165" i="1" s="1"/>
  <c r="N105" i="1"/>
  <c r="P105" i="1" s="1"/>
  <c r="N109" i="1"/>
  <c r="P109" i="1" s="1"/>
  <c r="N115" i="1"/>
  <c r="P115" i="1" s="1"/>
  <c r="N117" i="1"/>
  <c r="O117" i="1" s="1"/>
  <c r="U117" i="1" s="1"/>
  <c r="N151" i="1"/>
  <c r="O151" i="1" s="1"/>
  <c r="N152" i="1"/>
  <c r="O152" i="1" s="1"/>
  <c r="N170" i="1"/>
  <c r="O170" i="1" s="1"/>
  <c r="S170" i="1" s="1"/>
  <c r="N158" i="1"/>
  <c r="O158" i="1" s="1"/>
  <c r="N159" i="1"/>
  <c r="N162" i="1"/>
  <c r="O162" i="1" s="1"/>
  <c r="S162" i="1" s="1"/>
  <c r="N166" i="1"/>
  <c r="X166" i="1" s="1"/>
  <c r="N26" i="1"/>
  <c r="T26" i="1" s="1"/>
  <c r="C41" i="5"/>
  <c r="K34" i="2"/>
  <c r="C70" i="5"/>
  <c r="C72" i="5" s="1"/>
  <c r="L61" i="5"/>
  <c r="Q2" i="1"/>
  <c r="L60" i="5"/>
  <c r="L33" i="5"/>
  <c r="L24" i="5"/>
  <c r="L28" i="5"/>
  <c r="L23" i="5"/>
  <c r="L59" i="5"/>
  <c r="L37" i="5"/>
  <c r="L58" i="5"/>
  <c r="L35" i="5"/>
  <c r="L51" i="5"/>
  <c r="N25" i="1"/>
  <c r="T25" i="1" s="1"/>
  <c r="M2" i="1"/>
  <c r="N36" i="1"/>
  <c r="O36" i="1" s="1"/>
  <c r="K7" i="2"/>
  <c r="E26" i="3"/>
  <c r="E61" i="3" s="1"/>
  <c r="L27" i="5"/>
  <c r="L32" i="5"/>
  <c r="L38" i="5"/>
  <c r="L50" i="5"/>
  <c r="L62" i="5"/>
  <c r="L34" i="5"/>
  <c r="L57" i="5"/>
  <c r="I26" i="3"/>
  <c r="I61" i="3" s="1"/>
  <c r="I63" i="3" s="1"/>
  <c r="K22" i="2"/>
  <c r="K20" i="2"/>
  <c r="K21" i="2"/>
  <c r="J39" i="5"/>
  <c r="J61" i="3"/>
  <c r="J63" i="3" s="1"/>
  <c r="M66" i="3" s="1"/>
  <c r="F61" i="3"/>
  <c r="K61" i="3"/>
  <c r="K63" i="3" s="1"/>
  <c r="O13" i="3"/>
  <c r="O14" i="3" s="1"/>
  <c r="N167" i="1"/>
  <c r="O167" i="1" s="1"/>
  <c r="S167" i="1" s="1"/>
  <c r="N127" i="1"/>
  <c r="O127" i="1" s="1"/>
  <c r="N116" i="1"/>
  <c r="P116" i="1" s="1"/>
  <c r="N128" i="1"/>
  <c r="O128" i="1" s="1"/>
  <c r="N101" i="1"/>
  <c r="P101" i="1" s="1"/>
  <c r="N95" i="1"/>
  <c r="P95" i="1" s="1"/>
  <c r="N94" i="1"/>
  <c r="P94" i="1" s="1"/>
  <c r="F54" i="5"/>
  <c r="J67" i="5"/>
  <c r="D20" i="4"/>
  <c r="H14" i="4"/>
  <c r="G63" i="3"/>
  <c r="H56" i="3" s="1"/>
  <c r="H54" i="3"/>
  <c r="F22" i="5"/>
  <c r="H10" i="3"/>
  <c r="H17" i="3"/>
  <c r="H20" i="3"/>
  <c r="O48" i="3"/>
  <c r="H23" i="2"/>
  <c r="K23" i="2" s="1"/>
  <c r="K12" i="2"/>
  <c r="P40" i="1"/>
  <c r="O40" i="1"/>
  <c r="T40" i="1"/>
  <c r="O22" i="1"/>
  <c r="S22" i="1" s="1"/>
  <c r="T22" i="1"/>
  <c r="P28" i="1"/>
  <c r="T28" i="1"/>
  <c r="O60" i="1"/>
  <c r="Y60" i="1" s="1"/>
  <c r="P60" i="1"/>
  <c r="S27" i="1"/>
  <c r="O44" i="1"/>
  <c r="O55" i="1"/>
  <c r="S55" i="1" s="1"/>
  <c r="P62" i="1"/>
  <c r="P66" i="1"/>
  <c r="S24" i="1"/>
  <c r="P31" i="1"/>
  <c r="T45" i="1"/>
  <c r="Y45" i="1" s="1"/>
  <c r="P48" i="1"/>
  <c r="S48" i="1" s="1"/>
  <c r="O62" i="1"/>
  <c r="O67" i="1"/>
  <c r="Y67" i="1" s="1"/>
  <c r="P88" i="1"/>
  <c r="N16" i="1"/>
  <c r="S20" i="1"/>
  <c r="T24" i="1"/>
  <c r="Y24" i="1" s="1"/>
  <c r="P29" i="1"/>
  <c r="S29" i="1" s="1"/>
  <c r="O31" i="1"/>
  <c r="Y31" i="1" s="1"/>
  <c r="P34" i="1"/>
  <c r="S34" i="1" s="1"/>
  <c r="O38" i="1"/>
  <c r="S38" i="1" s="1"/>
  <c r="T38" i="1"/>
  <c r="S39" i="1"/>
  <c r="T39" i="1"/>
  <c r="T47" i="1"/>
  <c r="Y47" i="1" s="1"/>
  <c r="S47" i="1"/>
  <c r="T48" i="1"/>
  <c r="Y48" i="1" s="1"/>
  <c r="P67" i="1"/>
  <c r="P75" i="1"/>
  <c r="S75" i="1" s="1"/>
  <c r="O80" i="1"/>
  <c r="S80" i="1" s="1"/>
  <c r="P81" i="1"/>
  <c r="S81" i="1" s="1"/>
  <c r="O88" i="1"/>
  <c r="Y88" i="1" s="1"/>
  <c r="P98" i="1"/>
  <c r="O98" i="1"/>
  <c r="Y98" i="1" s="1"/>
  <c r="P30" i="1"/>
  <c r="S30" i="1" s="1"/>
  <c r="P33" i="1"/>
  <c r="S33" i="1" s="1"/>
  <c r="S45" i="1"/>
  <c r="P78" i="1"/>
  <c r="S78" i="1" s="1"/>
  <c r="P84" i="1"/>
  <c r="S84" i="1" s="1"/>
  <c r="O102" i="1"/>
  <c r="P118" i="1"/>
  <c r="O118" i="1"/>
  <c r="W118" i="1"/>
  <c r="T44" i="1"/>
  <c r="T55" i="1"/>
  <c r="T30" i="1"/>
  <c r="O66" i="1"/>
  <c r="N103" i="1"/>
  <c r="N108" i="1"/>
  <c r="P110" i="1"/>
  <c r="S110" i="1" s="1"/>
  <c r="N119" i="1"/>
  <c r="O111" i="1"/>
  <c r="O114" i="1"/>
  <c r="W114" i="1"/>
  <c r="O123" i="1"/>
  <c r="N130" i="1"/>
  <c r="N138" i="1"/>
  <c r="O139" i="1"/>
  <c r="Y139" i="1" s="1"/>
  <c r="N150" i="1"/>
  <c r="N155" i="1"/>
  <c r="P111" i="1"/>
  <c r="P114" i="1"/>
  <c r="W123" i="1"/>
  <c r="W148" i="1"/>
  <c r="Y110" i="1"/>
  <c r="S129" i="1"/>
  <c r="O148" i="1"/>
  <c r="S148" i="1" s="1"/>
  <c r="N134" i="1"/>
  <c r="N161" i="1"/>
  <c r="W163" i="1"/>
  <c r="W147" i="1" l="1"/>
  <c r="S172" i="1"/>
  <c r="L22" i="5"/>
  <c r="F29" i="5"/>
  <c r="L68" i="5"/>
  <c r="P32" i="1"/>
  <c r="O92" i="1"/>
  <c r="Y92" i="1" s="1"/>
  <c r="O144" i="1"/>
  <c r="Y144" i="1" s="1"/>
  <c r="W126" i="1"/>
  <c r="W162" i="1"/>
  <c r="O149" i="1"/>
  <c r="Y149" i="1" s="1"/>
  <c r="O107" i="1"/>
  <c r="W107" i="1" s="1"/>
  <c r="Y107" i="1" s="1"/>
  <c r="P56" i="1"/>
  <c r="S56" i="1" s="1"/>
  <c r="G20" i="4"/>
  <c r="H19" i="4"/>
  <c r="F69" i="5"/>
  <c r="F70" i="5" s="1"/>
  <c r="J70" i="5" s="1"/>
  <c r="O113" i="1"/>
  <c r="W135" i="1"/>
  <c r="Y135" i="1" s="1"/>
  <c r="O165" i="1"/>
  <c r="S165" i="1" s="1"/>
  <c r="W169" i="1"/>
  <c r="Y91" i="1"/>
  <c r="O136" i="1"/>
  <c r="W124" i="1"/>
  <c r="Y124" i="1" s="1"/>
  <c r="W113" i="1"/>
  <c r="Y113" i="1" s="1"/>
  <c r="O72" i="1"/>
  <c r="W72" i="1" s="1"/>
  <c r="Y72" i="1" s="1"/>
  <c r="O141" i="1"/>
  <c r="Y141" i="1" s="1"/>
  <c r="O160" i="1"/>
  <c r="U160" i="1" s="1"/>
  <c r="Y160" i="1" s="1"/>
  <c r="O169" i="1"/>
  <c r="U169" i="1" s="1"/>
  <c r="Y169" i="1" s="1"/>
  <c r="W120" i="1"/>
  <c r="P120" i="1"/>
  <c r="O156" i="1"/>
  <c r="Y156" i="1" s="1"/>
  <c r="W127" i="1"/>
  <c r="Y127" i="1" s="1"/>
  <c r="O96" i="1"/>
  <c r="S96" i="1" s="1"/>
  <c r="O140" i="1"/>
  <c r="S140" i="1" s="1"/>
  <c r="O164" i="1"/>
  <c r="S164" i="1" s="1"/>
  <c r="O153" i="1"/>
  <c r="Y153" i="1" s="1"/>
  <c r="O143" i="1"/>
  <c r="P106" i="1"/>
  <c r="S106" i="1" s="1"/>
  <c r="W164" i="1"/>
  <c r="O90" i="1"/>
  <c r="S90" i="1" s="1"/>
  <c r="P97" i="1"/>
  <c r="S97" i="1" s="1"/>
  <c r="P42" i="1"/>
  <c r="T23" i="1"/>
  <c r="O112" i="1"/>
  <c r="Y112" i="1" s="1"/>
  <c r="W152" i="1"/>
  <c r="Y152" i="1" s="1"/>
  <c r="O125" i="1"/>
  <c r="Y125" i="1" s="1"/>
  <c r="O104" i="1"/>
  <c r="W104" i="1" s="1"/>
  <c r="Y104" i="1" s="1"/>
  <c r="P112" i="1"/>
  <c r="O95" i="1"/>
  <c r="W95" i="1" s="1"/>
  <c r="Y95" i="1" s="1"/>
  <c r="T32" i="1"/>
  <c r="P92" i="1"/>
  <c r="S92" i="1" s="1"/>
  <c r="T41" i="1"/>
  <c r="U64" i="1"/>
  <c r="Y64" i="1" s="1"/>
  <c r="S152" i="1"/>
  <c r="S145" i="1"/>
  <c r="S122" i="1"/>
  <c r="O154" i="1"/>
  <c r="Y154" i="1" s="1"/>
  <c r="O116" i="1"/>
  <c r="S116" i="1" s="1"/>
  <c r="O86" i="1"/>
  <c r="W86" i="1" s="1"/>
  <c r="Y86" i="1" s="1"/>
  <c r="W122" i="1"/>
  <c r="Y122" i="1" s="1"/>
  <c r="Y143" i="1"/>
  <c r="O157" i="1"/>
  <c r="S157" i="1" s="1"/>
  <c r="P117" i="1"/>
  <c r="S117" i="1" s="1"/>
  <c r="X165" i="1"/>
  <c r="W145" i="1"/>
  <c r="Y145" i="1" s="1"/>
  <c r="O70" i="1"/>
  <c r="W70" i="1" s="1"/>
  <c r="P79" i="1"/>
  <c r="S79" i="1" s="1"/>
  <c r="W158" i="1"/>
  <c r="Y158" i="1" s="1"/>
  <c r="O121" i="1"/>
  <c r="O101" i="1"/>
  <c r="S101" i="1" s="1"/>
  <c r="T52" i="1"/>
  <c r="Y52" i="1" s="1"/>
  <c r="W117" i="1"/>
  <c r="W121" i="1"/>
  <c r="O99" i="1"/>
  <c r="S99" i="1" s="1"/>
  <c r="O100" i="1"/>
  <c r="S100" i="1" s="1"/>
  <c r="P85" i="1"/>
  <c r="S85" i="1" s="1"/>
  <c r="P64" i="1"/>
  <c r="S64" i="1" s="1"/>
  <c r="P35" i="1"/>
  <c r="S35" i="1" s="1"/>
  <c r="O41" i="1"/>
  <c r="S41" i="1" s="1"/>
  <c r="S132" i="1"/>
  <c r="O105" i="1"/>
  <c r="S105" i="1" s="1"/>
  <c r="W133" i="1"/>
  <c r="Y133" i="1" s="1"/>
  <c r="S66" i="1"/>
  <c r="P69" i="1"/>
  <c r="S69" i="1" s="1"/>
  <c r="U65" i="1"/>
  <c r="Y65" i="1" s="1"/>
  <c r="P58" i="1"/>
  <c r="S58" i="1" s="1"/>
  <c r="W132" i="1"/>
  <c r="Y132" i="1" s="1"/>
  <c r="W146" i="1"/>
  <c r="Y146" i="1" s="1"/>
  <c r="O93" i="1"/>
  <c r="S93" i="1" s="1"/>
  <c r="W128" i="1"/>
  <c r="T50" i="1"/>
  <c r="S52" i="1"/>
  <c r="P71" i="1"/>
  <c r="S71" i="1" s="1"/>
  <c r="O50" i="1"/>
  <c r="S50" i="1" s="1"/>
  <c r="P65" i="1"/>
  <c r="S65" i="1" s="1"/>
  <c r="P89" i="1"/>
  <c r="S89" i="1" s="1"/>
  <c r="P53" i="1"/>
  <c r="S53" i="1" s="1"/>
  <c r="O51" i="1"/>
  <c r="S51" i="1" s="1"/>
  <c r="O49" i="1"/>
  <c r="T35" i="1"/>
  <c r="T49" i="1"/>
  <c r="Y128" i="1"/>
  <c r="S146" i="1"/>
  <c r="O137" i="1"/>
  <c r="Y137" i="1" s="1"/>
  <c r="W115" i="1"/>
  <c r="O42" i="1"/>
  <c r="T51" i="1"/>
  <c r="S141" i="1"/>
  <c r="O131" i="1"/>
  <c r="S131" i="1" s="1"/>
  <c r="P59" i="1"/>
  <c r="S59" i="1" s="1"/>
  <c r="Y123" i="1"/>
  <c r="S120" i="1"/>
  <c r="S62" i="1"/>
  <c r="Y44" i="1"/>
  <c r="S158" i="1"/>
  <c r="W159" i="1"/>
  <c r="O159" i="1"/>
  <c r="U159" i="1" s="1"/>
  <c r="P77" i="1"/>
  <c r="O77" i="1"/>
  <c r="P54" i="1"/>
  <c r="O54" i="1"/>
  <c r="U54" i="1" s="1"/>
  <c r="S114" i="1"/>
  <c r="S149" i="1"/>
  <c r="O94" i="1"/>
  <c r="W94" i="1" s="1"/>
  <c r="Y94" i="1" s="1"/>
  <c r="O76" i="1"/>
  <c r="W76" i="1" s="1"/>
  <c r="Y76" i="1" s="1"/>
  <c r="P76" i="1"/>
  <c r="S151" i="1"/>
  <c r="Y126" i="1"/>
  <c r="S139" i="1"/>
  <c r="O115" i="1"/>
  <c r="S115" i="1" s="1"/>
  <c r="O63" i="1"/>
  <c r="Y63" i="1" s="1"/>
  <c r="P49" i="1"/>
  <c r="T53" i="1"/>
  <c r="V2" i="1"/>
  <c r="O61" i="1"/>
  <c r="S61" i="1" s="1"/>
  <c r="Y117" i="1"/>
  <c r="W166" i="1"/>
  <c r="O166" i="1"/>
  <c r="P63" i="1"/>
  <c r="S111" i="1"/>
  <c r="W151" i="1"/>
  <c r="Y151" i="1" s="1"/>
  <c r="O109" i="1"/>
  <c r="W109" i="1" s="1"/>
  <c r="Y109" i="1" s="1"/>
  <c r="W116" i="1"/>
  <c r="S113" i="1"/>
  <c r="W96" i="1"/>
  <c r="Y96" i="1" s="1"/>
  <c r="T54" i="1"/>
  <c r="O68" i="1"/>
  <c r="P68" i="1"/>
  <c r="O26" i="1"/>
  <c r="Y26" i="1" s="1"/>
  <c r="O25" i="1"/>
  <c r="Y25" i="1" s="1"/>
  <c r="H26" i="3"/>
  <c r="S40" i="1"/>
  <c r="T36" i="1"/>
  <c r="Y36" i="1" s="1"/>
  <c r="P36" i="1"/>
  <c r="S36" i="1" s="1"/>
  <c r="J2" i="1"/>
  <c r="E63" i="3"/>
  <c r="H63" i="3" s="1"/>
  <c r="H61" i="3"/>
  <c r="T37" i="1"/>
  <c r="O37" i="1"/>
  <c r="S37" i="1" s="1"/>
  <c r="D3" i="1"/>
  <c r="J22" i="5"/>
  <c r="H29" i="2"/>
  <c r="K29" i="2" s="1"/>
  <c r="H59" i="3"/>
  <c r="S102" i="1"/>
  <c r="S32" i="1"/>
  <c r="L54" i="5"/>
  <c r="F64" i="5"/>
  <c r="J54" i="5"/>
  <c r="I67" i="3"/>
  <c r="S123" i="1"/>
  <c r="Y118" i="1"/>
  <c r="U157" i="1"/>
  <c r="Y157" i="1" s="1"/>
  <c r="Y148" i="1"/>
  <c r="U170" i="1"/>
  <c r="Y170" i="1" s="1"/>
  <c r="O155" i="1"/>
  <c r="S155" i="1" s="1"/>
  <c r="W155" i="1"/>
  <c r="Y120" i="1"/>
  <c r="P103" i="1"/>
  <c r="O103" i="1"/>
  <c r="U66" i="1"/>
  <c r="Y66" i="1" s="1"/>
  <c r="S128" i="1"/>
  <c r="S118" i="1"/>
  <c r="W102" i="1"/>
  <c r="Y102" i="1" s="1"/>
  <c r="O16" i="1"/>
  <c r="N2" i="1"/>
  <c r="T16" i="1"/>
  <c r="S88" i="1"/>
  <c r="S60" i="1"/>
  <c r="S28" i="1"/>
  <c r="Y40" i="1"/>
  <c r="S161" i="1"/>
  <c r="X161" i="1"/>
  <c r="W161" i="1"/>
  <c r="S143" i="1"/>
  <c r="S121" i="1"/>
  <c r="O150" i="1"/>
  <c r="S150" i="1" s="1"/>
  <c r="W150" i="1"/>
  <c r="S126" i="1"/>
  <c r="Y114" i="1"/>
  <c r="Y32" i="1"/>
  <c r="W80" i="1"/>
  <c r="Y80" i="1" s="1"/>
  <c r="O134" i="1"/>
  <c r="W134" i="1"/>
  <c r="Y147" i="1"/>
  <c r="S147" i="1"/>
  <c r="Y136" i="1"/>
  <c r="W93" i="1"/>
  <c r="Y93" i="1" s="1"/>
  <c r="S136" i="1"/>
  <c r="W111" i="1"/>
  <c r="Y111" i="1" s="1"/>
  <c r="W119" i="1"/>
  <c r="P119" i="1"/>
  <c r="O119" i="1"/>
  <c r="S44" i="1"/>
  <c r="U62" i="1"/>
  <c r="Y62" i="1" s="1"/>
  <c r="S72" i="1"/>
  <c r="Y55" i="1"/>
  <c r="S127" i="1"/>
  <c r="U164" i="1"/>
  <c r="Y164" i="1" s="1"/>
  <c r="O130" i="1"/>
  <c r="S130" i="1" s="1"/>
  <c r="W130" i="1"/>
  <c r="O108" i="1"/>
  <c r="P108" i="1"/>
  <c r="S98" i="1"/>
  <c r="S31" i="1"/>
  <c r="S67" i="1"/>
  <c r="U58" i="1"/>
  <c r="Y58" i="1" s="1"/>
  <c r="S135" i="1"/>
  <c r="O138" i="1"/>
  <c r="W138" i="1"/>
  <c r="S107" i="1"/>
  <c r="Y162" i="1"/>
  <c r="U53" i="1"/>
  <c r="H20" i="4" l="1"/>
  <c r="S125" i="1"/>
  <c r="Y140" i="1"/>
  <c r="S70" i="1"/>
  <c r="S42" i="1"/>
  <c r="W100" i="1"/>
  <c r="Y100" i="1" s="1"/>
  <c r="U165" i="1"/>
  <c r="Y165" i="1" s="1"/>
  <c r="S86" i="1"/>
  <c r="S104" i="1"/>
  <c r="S144" i="1"/>
  <c r="F72" i="5"/>
  <c r="L70" i="5"/>
  <c r="J69" i="5"/>
  <c r="L69" i="5"/>
  <c r="W90" i="1"/>
  <c r="Y90" i="1" s="1"/>
  <c r="S169" i="1"/>
  <c r="S153" i="1"/>
  <c r="S112" i="1"/>
  <c r="S156" i="1"/>
  <c r="W101" i="1"/>
  <c r="Y101" i="1" s="1"/>
  <c r="S160" i="1"/>
  <c r="S95" i="1"/>
  <c r="S109" i="1"/>
  <c r="S154" i="1"/>
  <c r="S76" i="1"/>
  <c r="Y121" i="1"/>
  <c r="U50" i="1"/>
  <c r="Y50" i="1" s="1"/>
  <c r="Y116" i="1"/>
  <c r="X2" i="1"/>
  <c r="S49" i="1"/>
  <c r="W105" i="1"/>
  <c r="Y105" i="1" s="1"/>
  <c r="S137" i="1"/>
  <c r="Y131" i="1"/>
  <c r="W99" i="1"/>
  <c r="Y99" i="1" s="1"/>
  <c r="S54" i="1"/>
  <c r="S94" i="1"/>
  <c r="Y115" i="1"/>
  <c r="S159" i="1"/>
  <c r="Y53" i="1"/>
  <c r="U51" i="1"/>
  <c r="Y51" i="1" s="1"/>
  <c r="Y49" i="1"/>
  <c r="S63" i="1"/>
  <c r="Y134" i="1"/>
  <c r="S26" i="1"/>
  <c r="W68" i="1"/>
  <c r="Y68" i="1" s="1"/>
  <c r="S68" i="1"/>
  <c r="W77" i="1"/>
  <c r="Y77" i="1" s="1"/>
  <c r="U61" i="1"/>
  <c r="Y61" i="1" s="1"/>
  <c r="Y150" i="1"/>
  <c r="U166" i="1"/>
  <c r="Y166" i="1" s="1"/>
  <c r="S166" i="1"/>
  <c r="S77" i="1"/>
  <c r="Y138" i="1"/>
  <c r="Y119" i="1"/>
  <c r="S134" i="1"/>
  <c r="Y54" i="1"/>
  <c r="Y159" i="1"/>
  <c r="F41" i="5"/>
  <c r="L29" i="5"/>
  <c r="J29" i="5"/>
  <c r="P2" i="1"/>
  <c r="L64" i="5"/>
  <c r="J64" i="5"/>
  <c r="W108" i="1"/>
  <c r="Y108" i="1" s="1"/>
  <c r="O2" i="1"/>
  <c r="Y70" i="1"/>
  <c r="S119" i="1"/>
  <c r="S103" i="1"/>
  <c r="S138" i="1"/>
  <c r="S108" i="1"/>
  <c r="Y130" i="1"/>
  <c r="W103" i="1"/>
  <c r="Y103" i="1" s="1"/>
  <c r="S16" i="1"/>
  <c r="Y155" i="1"/>
  <c r="J73" i="5" l="1"/>
  <c r="U2" i="1"/>
  <c r="W2" i="1"/>
  <c r="Z2" i="1"/>
  <c r="L41" i="5"/>
  <c r="J41" i="5"/>
  <c r="J72" i="5"/>
  <c r="N72" i="5"/>
  <c r="S2" i="1"/>
</calcChain>
</file>

<file path=xl/sharedStrings.xml><?xml version="1.0" encoding="utf-8"?>
<sst xmlns="http://schemas.openxmlformats.org/spreadsheetml/2006/main" count="807" uniqueCount="478">
  <si>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</si>
  <si>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</si>
  <si>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</si>
  <si>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</si>
  <si>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</si>
  <si>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</si>
  <si>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</si>
  <si>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</si>
  <si>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</si>
  <si>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</si>
  <si>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</si>
  <si>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</si>
  <si>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</si>
  <si>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</si>
  <si>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</si>
  <si>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</si>
  <si>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</si>
  <si>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</si>
  <si>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</si>
  <si>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</si>
  <si>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</si>
  <si>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</si>
  <si>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</si>
  <si>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</si>
  <si>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</si>
  <si>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</si>
  <si>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</si>
  <si>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</si>
  <si>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</si>
  <si>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</si>
  <si>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</si>
  <si>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</si>
  <si>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</si>
  <si>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</si>
  <si>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</si>
  <si>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</si>
  <si>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</si>
  <si>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</si>
  <si>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</si>
  <si>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</si>
  <si>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</si>
  <si>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</si>
  <si>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</si>
  <si>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</si>
  <si>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</si>
  <si>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</si>
  <si>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0004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</si>
  <si>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</si>
  <si>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</si>
  <si>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</si>
  <si>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</si>
  <si>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</si>
  <si>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</si>
  <si>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</si>
  <si>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</si>
  <si>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</si>
  <si>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</si>
  <si>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</si>
  <si>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</si>
  <si>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</si>
  <si>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</si>
  <si>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</si>
  <si>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</si>
  <si>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</si>
  <si>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</si>
  <si>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</si>
  <si>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</si>
  <si>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</si>
  <si>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</si>
  <si>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</si>
  <si>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</si>
  <si>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</si>
  <si>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</si>
  <si>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</si>
  <si>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</si>
  <si>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</si>
  <si>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</si>
  <si>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</si>
  <si>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</si>
  <si>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</si>
  <si>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</si>
  <si>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</si>
  <si>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</si>
  <si>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</si>
  <si>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</si>
  <si>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</si>
  <si>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</si>
  <si>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</si>
  <si>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</si>
  <si>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</si>
  <si>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</si>
  <si>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</si>
  <si>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</si>
  <si>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</si>
  <si>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</si>
  <si>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</si>
  <si>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</si>
  <si>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</si>
  <si>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</si>
  <si>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</si>
  <si>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</si>
  <si>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</si>
  <si>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</si>
  <si>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</si>
  <si>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</si>
  <si>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</si>
  <si>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</si>
  <si>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</si>
  <si>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</si>
  <si>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</si>
  <si>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</si>
  <si>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</si>
  <si>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</si>
  <si>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</si>
  <si>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</si>
  <si>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</si>
  <si>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</si>
  <si>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</si>
  <si>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</si>
  <si>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</si>
  <si>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</si>
  <si>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</si>
  <si>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</si>
  <si>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</si>
  <si>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</si>
  <si>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</si>
  <si>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</si>
  <si>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</si>
  <si>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</si>
  <si>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</si>
  <si>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</si>
  <si>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</si>
  <si>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</si>
  <si>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</si>
  <si>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</si>
  <si>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</si>
  <si>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</si>
  <si>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</si>
  <si>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</si>
  <si>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</si>
  <si>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</si>
  <si>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</si>
  <si>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</si>
  <si>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</si>
  <si>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</si>
  <si>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</si>
  <si>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</si>
  <si>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</si>
  <si>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</si>
  <si>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</si>
  <si>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</si>
  <si>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</si>
  <si>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</si>
  <si>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</si>
  <si>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</si>
  <si>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</si>
  <si>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</si>
  <si>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</si>
  <si>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</si>
  <si>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</si>
  <si>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</si>
  <si>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</si>
  <si>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</si>
  <si>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</si>
  <si>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</si>
  <si>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</si>
  <si>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</si>
  <si>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</si>
  <si>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</si>
  <si>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</si>
  <si>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</si>
  <si>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</si>
  <si>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</si>
  <si>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</si>
  <si>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</si>
  <si>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</si>
  <si>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</si>
  <si>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</si>
  <si>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</si>
  <si>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</si>
  <si>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</si>
  <si>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</si>
  <si>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</si>
  <si>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</si>
  <si>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</si>
  <si>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</si>
  <si>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</si>
  <si>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</si>
  <si>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</si>
  <si>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</si>
  <si>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</si>
  <si>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</si>
  <si>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</si>
  <si>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</si>
  <si>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</si>
  <si>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</si>
  <si>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</si>
  <si>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</si>
  <si>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</si>
  <si>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</si>
  <si>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</si>
  <si>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</si>
  <si>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</si>
  <si>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</si>
  <si>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</si>
  <si>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</si>
  <si>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</si>
  <si>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</si>
  <si>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</si>
  <si>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</si>
  <si>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</si>
  <si>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</si>
  <si>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</si>
  <si>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</si>
  <si>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</si>
  <si>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</si>
  <si>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</si>
  <si>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</si>
  <si>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</si>
  <si>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</si>
  <si>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</si>
  <si>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</si>
  <si>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</si>
  <si>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</si>
  <si>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</si>
  <si>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</si>
  <si>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</si>
  <si>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</si>
  <si>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</si>
  <si>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</si>
  <si>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</si>
  <si>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</si>
  <si>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</si>
  <si>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</si>
  <si>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</si>
  <si>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</si>
  <si>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</si>
  <si>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</si>
  <si>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</si>
  <si>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</si>
  <si>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</si>
  <si>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</si>
  <si>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</si>
  <si>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</si>
  <si>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</si>
  <si>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</si>
  <si>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</si>
  <si>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</si>
  <si>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</si>
  <si>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</si>
  <si>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</si>
  <si>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</si>
  <si>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</si>
  <si>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</si>
  <si>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</si>
  <si>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</si>
  <si>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</si>
  <si>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</si>
  <si>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</si>
  <si>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</si>
  <si>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</si>
  <si>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</si>
  <si>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</si>
  <si>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</si>
  <si>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</si>
  <si>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</si>
  <si>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</si>
  <si>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</si>
  <si>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</si>
  <si>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</si>
  <si>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</si>
  <si>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</si>
  <si>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</si>
  <si>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</si>
  <si>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</si>
  <si>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</si>
  <si>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</si>
  <si>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</si>
  <si>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</si>
  <si>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</si>
  <si>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</si>
  <si>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</si>
  <si>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</si>
  <si>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</si>
  <si>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</si>
  <si>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</si>
  <si>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</si>
  <si>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</si>
  <si>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</si>
  <si>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</si>
  <si>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</si>
  <si>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</si>
  <si>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</si>
  <si>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</si>
  <si>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</si>
  <si>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</si>
  <si>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</si>
  <si>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</si>
  <si>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</si>
  <si>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</si>
  <si>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</si>
  <si>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</si>
  <si>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</si>
  <si>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</si>
  <si>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</si>
  <si>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</si>
  <si>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</si>
  <si>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</si>
  <si>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</si>
  <si>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</si>
  <si>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</si>
  <si>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</si>
  <si>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</si>
  <si>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</si>
  <si>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</si>
  <si>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</si>
  <si>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</si>
  <si>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</si>
  <si>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</si>
  <si>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</si>
  <si>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</si>
  <si>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</si>
  <si>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</si>
  <si>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</si>
  <si>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</si>
  <si>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</si>
  <si>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</si>
  <si>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</si>
  <si>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</si>
  <si>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</si>
  <si>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</si>
  <si>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</si>
  <si>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</si>
  <si>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</si>
  <si>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</si>
  <si>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</si>
  <si>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</si>
  <si>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</si>
  <si>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</si>
  <si>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</si>
  <si>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</si>
  <si>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</si>
  <si>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</si>
  <si>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</si>
  <si>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</si>
  <si>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</si>
  <si>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</si>
  <si>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</si>
  <si>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</si>
  <si>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</si>
  <si>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Balance General</t>
  </si>
  <si>
    <t>Activos</t>
  </si>
  <si>
    <t>Activos corrientes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</si>
  <si>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</si>
  <si>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</si>
  <si>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</si>
  <si>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</si>
  <si>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</si>
  <si>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Cuenta por cobrar a corto plazo (Notas 10)</t>
  </si>
  <si>
    <t xml:space="preserve">Inventarios 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</si>
  <si>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</si>
  <si>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</si>
  <si>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</si>
  <si>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</si>
  <si>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</si>
  <si>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</si>
  <si>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</si>
  <si>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</si>
  <si>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</si>
  <si>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Inversiones a largo plazo (Nota 16)</t>
  </si>
  <si>
    <t>Otros activos financieros (Notas 17)</t>
  </si>
  <si>
    <t xml:space="preserve">Mobiliarios y equipos neto </t>
  </si>
  <si>
    <t xml:space="preserve">Activos intangibles (Nota 10) 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</si>
  <si>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</si>
  <si>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</si>
  <si>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</si>
  <si>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</si>
  <si>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>Pasivos</t>
  </si>
  <si>
    <t xml:space="preserve">Cuentas por pagar a corto plazo </t>
  </si>
  <si>
    <t>Préstamos a corto plazo (Nota 23)</t>
  </si>
  <si>
    <t>Parte corriente de préstamos a largo plazo )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</si>
  <si>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</si>
  <si>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</si>
  <si>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</si>
  <si>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</si>
  <si>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</si>
  <si>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</si>
  <si>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</si>
  <si>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</si>
  <si>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</si>
  <si>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</si>
  <si>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</si>
  <si>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</si>
  <si>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</si>
  <si>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</si>
  <si>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</si>
  <si>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</si>
  <si>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</si>
  <si>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</si>
  <si>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</si>
  <si>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</si>
  <si>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</si>
  <si>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</si>
  <si>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</si>
  <si>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</si>
  <si>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</si>
  <si>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</si>
  <si>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</si>
  <si>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 xml:space="preserve">Resultados acumulados </t>
  </si>
  <si>
    <t>Total activos netos/patrimonio</t>
  </si>
  <si>
    <t>Total pasivos y activos netos/patrimonio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</si>
  <si>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</si>
  <si>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</si>
  <si>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</si>
  <si>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</si>
  <si>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</si>
  <si>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</si>
  <si>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</si>
  <si>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</si>
  <si>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</si>
  <si>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</si>
  <si>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</si>
  <si>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</si>
  <si>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</si>
  <si>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</si>
  <si>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</si>
  <si>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</si>
  <si>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</si>
  <si>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</si>
  <si>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</si>
  <si>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</si>
  <si>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</si>
  <si>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</si>
  <si>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</si>
  <si>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</si>
  <si>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</si>
  <si>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</si>
  <si>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</si>
  <si>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</si>
  <si>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</si>
  <si>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</si>
  <si>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</si>
  <si>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</si>
  <si>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</si>
  <si>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</si>
  <si>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</si>
  <si>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</si>
  <si>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</si>
  <si>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</si>
  <si>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</si>
  <si>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</si>
  <si>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</si>
  <si>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</si>
  <si>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</si>
  <si>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</si>
  <si>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 xml:space="preserve">Sobregiro bancario 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</si>
  <si>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</si>
  <si>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</si>
  <si>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</si>
  <si>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</si>
  <si>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</si>
  <si>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</si>
  <si>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</si>
  <si>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</si>
  <si>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</si>
  <si>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</si>
  <si>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</si>
  <si>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</si>
  <si>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</si>
  <si>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</si>
  <si>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Seguro Pagados anticipados</t>
  </si>
  <si>
    <t>Cuenta de Disponibilidad Fondo 7374 Arabia Saudita</t>
  </si>
  <si>
    <t>Saldo al 31 de diciembre del 2024</t>
  </si>
  <si>
    <t>al 31 del mes de enero de 2025</t>
  </si>
  <si>
    <t>Correspondiente al 31 del mes de enero del año 2025</t>
  </si>
  <si>
    <t>Saldo al 31 de diciembre de 2024</t>
  </si>
  <si>
    <t>Saldo al 31 de Diciembre de 2023</t>
  </si>
  <si>
    <t>Correspondienteal 31 del mes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</si>
</sst>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  <numFmt numFmtId="167" formatCode="_(* #,##0.00_);_(* \(#,##0.00\);_(* &quot;-&quot;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2"/>
      <color theme="0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</cellStyleXfs>
  <cellXfs count="242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49" fontId="0" fillId="0" borderId="0" xfId="0" applyNumberFormat="1"/>
    <xf numFmtId="41" fontId="3" fillId="0" borderId="0" xfId="0" applyNumberFormat="1" applyFont="1" applyAlignment="1">
      <alignment horizontal="left" vertical="center" indent="5"/>
    </xf>
    <xf numFmtId="37" fontId="3" fillId="0" borderId="0" xfId="0" applyNumberFormat="1" applyFont="1"/>
    <xf numFmtId="0" fontId="6" fillId="0" borderId="0" xfId="0" applyFont="1"/>
    <xf numFmtId="41" fontId="3" fillId="0" borderId="1" xfId="0" applyNumberFormat="1" applyFont="1" applyBorder="1"/>
    <xf numFmtId="43" fontId="13" fillId="0" borderId="1" xfId="0" applyNumberFormat="1" applyFont="1" applyBorder="1"/>
    <xf numFmtId="4" fontId="5" fillId="0" borderId="0" xfId="0" applyNumberFormat="1" applyFont="1"/>
    <xf numFmtId="41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41" fontId="3" fillId="6" borderId="1" xfId="0" applyNumberFormat="1" applyFont="1" applyFill="1" applyBorder="1"/>
    <xf numFmtId="41" fontId="13" fillId="0" borderId="0" xfId="0" applyNumberFormat="1" applyFont="1"/>
    <xf numFmtId="39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 indent="5"/>
    </xf>
    <xf numFmtId="41" fontId="13" fillId="0" borderId="1" xfId="0" applyNumberFormat="1" applyFont="1" applyBorder="1"/>
    <xf numFmtId="0" fontId="5" fillId="0" borderId="0" xfId="0" applyFont="1"/>
    <xf numFmtId="4" fontId="3" fillId="0" borderId="1" xfId="0" applyNumberFormat="1" applyFont="1" applyBorder="1" applyAlignment="1">
      <alignment vertical="center"/>
    </xf>
    <xf numFmtId="41" fontId="38" fillId="0" borderId="0" xfId="0" applyNumberFormat="1" applyFont="1" applyAlignment="1">
      <alignment vertical="center"/>
    </xf>
    <xf numFmtId="43" fontId="39" fillId="0" borderId="0" xfId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41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1" fontId="12" fillId="0" borderId="0" xfId="0" applyNumberFormat="1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167" fontId="5" fillId="0" borderId="1" xfId="0" applyNumberFormat="1" applyFont="1" applyBorder="1" applyAlignment="1">
      <alignment vertical="center"/>
    </xf>
    <xf numFmtId="165" fontId="3" fillId="0" borderId="0" xfId="0" applyNumberFormat="1" applyFont="1"/>
    <xf numFmtId="165" fontId="3" fillId="0" borderId="1" xfId="0" applyNumberFormat="1" applyFont="1" applyBorder="1"/>
    <xf numFmtId="43" fontId="27" fillId="2" borderId="8" xfId="1" applyFont="1" applyFill="1" applyBorder="1"/>
    <xf numFmtId="43" fontId="27" fillId="0" borderId="8" xfId="1" applyFont="1" applyBorder="1"/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3" fontId="3" fillId="0" borderId="0" xfId="1" applyFont="1"/>
    <xf numFmtId="42" fontId="29" fillId="0" borderId="8" xfId="1" applyNumberFormat="1" applyFont="1" applyBorder="1" applyAlignment="1">
      <alignment vertical="center"/>
    </xf>
    <xf numFmtId="42" fontId="27" fillId="0" borderId="8" xfId="1" applyNumberFormat="1" applyFont="1" applyBorder="1" applyAlignment="1">
      <alignment vertical="center"/>
    </xf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Informes%20Financieros%202025\Enero%202025\Ejecuci&#243;n%20Enero%202025.xlsx" TargetMode="External"/><Relationship Id="rId1" Type="http://schemas.openxmlformats.org/officeDocument/2006/relationships/externalLinkPath" Target="/Users/reynaldo.javier/Desktop/Informes%20Financieros%202025/Enero%202025/Ejecuci&#243;n%20Enero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Ejecución  "/>
    </sheetNames>
    <sheetDataSet>
      <sheetData sheetId="0">
        <row r="12">
          <cell r="B12">
            <v>11372240.82</v>
          </cell>
        </row>
        <row r="18">
          <cell r="B18">
            <v>4840129.18</v>
          </cell>
        </row>
        <row r="28">
          <cell r="B28">
            <v>511233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99" bestFit="1" customWidth="1"/>
    <col min="3" max="3" width="17.140625" style="199" customWidth="1"/>
    <col min="4" max="4" width="16" customWidth="1"/>
    <col min="5" max="6" width="14.140625" bestFit="1" customWidth="1"/>
  </cols>
  <sheetData>
    <row r="3" spans="1:6" s="192" customFormat="1" x14ac:dyDescent="0.25">
      <c r="A3" s="190" t="s">
        <v>411</v>
      </c>
      <c r="B3" s="191" t="s">
        <v>412</v>
      </c>
      <c r="C3" s="191" t="s">
        <v>413</v>
      </c>
      <c r="D3" s="190" t="s">
        <v>414</v>
      </c>
      <c r="E3" s="190" t="s">
        <v>414</v>
      </c>
    </row>
    <row r="4" spans="1:6" x14ac:dyDescent="0.25">
      <c r="A4" s="193" t="s">
        <v>415</v>
      </c>
      <c r="B4" s="194"/>
      <c r="C4" s="195">
        <v>7194666.6300000008</v>
      </c>
      <c r="D4" s="196">
        <f>B4+C4</f>
        <v>7194666.6300000008</v>
      </c>
      <c r="E4" s="221">
        <f>D4+D5+D6</f>
        <v>8241416.6300000008</v>
      </c>
    </row>
    <row r="5" spans="1:6" x14ac:dyDescent="0.25">
      <c r="A5" s="193" t="s">
        <v>416</v>
      </c>
      <c r="B5" s="194"/>
      <c r="C5" s="195">
        <v>983250</v>
      </c>
      <c r="D5" s="196">
        <f t="shared" ref="D5:D55" si="0">B5+C5</f>
        <v>983250</v>
      </c>
      <c r="E5" s="221"/>
    </row>
    <row r="6" spans="1:6" x14ac:dyDescent="0.25">
      <c r="A6" s="193" t="s">
        <v>417</v>
      </c>
      <c r="B6" s="194"/>
      <c r="C6" s="195">
        <v>63500</v>
      </c>
      <c r="D6" s="196">
        <f t="shared" si="0"/>
        <v>63500</v>
      </c>
      <c r="E6" s="221"/>
    </row>
    <row r="7" spans="1:6" x14ac:dyDescent="0.25">
      <c r="A7" s="193" t="s">
        <v>418</v>
      </c>
      <c r="B7" s="194"/>
      <c r="C7" s="195">
        <v>256000</v>
      </c>
      <c r="D7" s="196">
        <f t="shared" si="0"/>
        <v>256000</v>
      </c>
      <c r="E7" s="220">
        <f>D7+D8</f>
        <v>865617.5</v>
      </c>
    </row>
    <row r="8" spans="1:6" x14ac:dyDescent="0.25">
      <c r="A8" s="193" t="s">
        <v>419</v>
      </c>
      <c r="B8" s="194"/>
      <c r="C8" s="195">
        <v>609617.5</v>
      </c>
      <c r="D8" s="196">
        <f t="shared" si="0"/>
        <v>609617.5</v>
      </c>
      <c r="E8" s="220"/>
    </row>
    <row r="9" spans="1:6" x14ac:dyDescent="0.25">
      <c r="A9" s="193" t="s">
        <v>420</v>
      </c>
      <c r="B9" s="195">
        <v>73900</v>
      </c>
      <c r="C9" s="194"/>
      <c r="D9" s="196">
        <f t="shared" si="0"/>
        <v>73900</v>
      </c>
      <c r="E9" s="196">
        <f>D9</f>
        <v>73900</v>
      </c>
      <c r="F9" s="115">
        <f>E4+E7+E9</f>
        <v>9180934.1300000008</v>
      </c>
    </row>
    <row r="10" spans="1:6" x14ac:dyDescent="0.25">
      <c r="A10" s="193" t="s">
        <v>421</v>
      </c>
      <c r="B10" s="194"/>
      <c r="C10" s="195">
        <v>581666.55999999994</v>
      </c>
      <c r="D10" s="196">
        <f t="shared" si="0"/>
        <v>581666.55999999994</v>
      </c>
      <c r="E10" s="220">
        <f>D10+D11+D12</f>
        <v>1261449.5699999998</v>
      </c>
    </row>
    <row r="11" spans="1:6" x14ac:dyDescent="0.25">
      <c r="A11" s="193" t="s">
        <v>422</v>
      </c>
      <c r="B11" s="194"/>
      <c r="C11" s="195">
        <v>585140.61</v>
      </c>
      <c r="D11" s="196">
        <f t="shared" si="0"/>
        <v>585140.61</v>
      </c>
      <c r="E11" s="220"/>
    </row>
    <row r="12" spans="1:6" x14ac:dyDescent="0.25">
      <c r="A12" s="193" t="s">
        <v>423</v>
      </c>
      <c r="B12" s="194"/>
      <c r="C12" s="195">
        <v>94642.4</v>
      </c>
      <c r="D12" s="196">
        <f t="shared" si="0"/>
        <v>94642.4</v>
      </c>
      <c r="E12" s="220"/>
    </row>
    <row r="13" spans="1:6" x14ac:dyDescent="0.25">
      <c r="A13" s="193" t="s">
        <v>424</v>
      </c>
      <c r="B13" s="194"/>
      <c r="C13" s="195">
        <v>444674.81</v>
      </c>
      <c r="D13" s="196">
        <f t="shared" si="0"/>
        <v>444674.81</v>
      </c>
      <c r="E13" s="220">
        <f>D13+D14+D15+D16+D17+D18+D19+D20+D21+D22+D23+D24+D25+D26+D27+D28+D29+D30+D31</f>
        <v>8118143.3100000015</v>
      </c>
    </row>
    <row r="14" spans="1:6" x14ac:dyDescent="0.25">
      <c r="A14" s="193" t="s">
        <v>425</v>
      </c>
      <c r="B14" s="194"/>
      <c r="C14" s="195">
        <v>198857.06</v>
      </c>
      <c r="D14" s="196">
        <f t="shared" si="0"/>
        <v>198857.06</v>
      </c>
      <c r="E14" s="220"/>
    </row>
    <row r="15" spans="1:6" x14ac:dyDescent="0.25">
      <c r="A15" s="193" t="s">
        <v>426</v>
      </c>
      <c r="B15" s="194"/>
      <c r="C15" s="195">
        <v>425843.62</v>
      </c>
      <c r="D15" s="196">
        <f t="shared" si="0"/>
        <v>425843.62</v>
      </c>
      <c r="E15" s="220"/>
    </row>
    <row r="16" spans="1:6" x14ac:dyDescent="0.25">
      <c r="A16" s="193" t="s">
        <v>427</v>
      </c>
      <c r="B16" s="195">
        <v>108762.5</v>
      </c>
      <c r="C16" s="194"/>
      <c r="D16" s="196">
        <f t="shared" si="0"/>
        <v>108762.5</v>
      </c>
      <c r="E16" s="220"/>
    </row>
    <row r="17" spans="1:5" x14ac:dyDescent="0.25">
      <c r="A17" s="193" t="s">
        <v>428</v>
      </c>
      <c r="B17" s="194">
        <v>1140600</v>
      </c>
      <c r="C17" s="195">
        <v>1307050</v>
      </c>
      <c r="D17" s="196">
        <f t="shared" si="0"/>
        <v>2447650</v>
      </c>
      <c r="E17" s="220"/>
    </row>
    <row r="18" spans="1:5" x14ac:dyDescent="0.25">
      <c r="A18" s="193" t="s">
        <v>429</v>
      </c>
      <c r="B18" s="195">
        <v>485.52</v>
      </c>
      <c r="C18" s="194"/>
      <c r="D18" s="196">
        <f t="shared" si="0"/>
        <v>485.52</v>
      </c>
      <c r="E18" s="220"/>
    </row>
    <row r="19" spans="1:5" x14ac:dyDescent="0.25">
      <c r="A19" s="193" t="s">
        <v>430</v>
      </c>
      <c r="B19" s="195">
        <v>48079.98</v>
      </c>
      <c r="C19" s="194"/>
      <c r="D19" s="196">
        <f t="shared" si="0"/>
        <v>48079.98</v>
      </c>
      <c r="E19" s="220"/>
    </row>
    <row r="20" spans="1:5" x14ac:dyDescent="0.25">
      <c r="A20" s="193" t="s">
        <v>431</v>
      </c>
      <c r="B20" s="195">
        <v>141603.75</v>
      </c>
      <c r="C20" s="194"/>
      <c r="D20" s="196">
        <f t="shared" si="0"/>
        <v>141603.75</v>
      </c>
      <c r="E20" s="220"/>
    </row>
    <row r="21" spans="1:5" x14ac:dyDescent="0.25">
      <c r="A21" s="193" t="s">
        <v>432</v>
      </c>
      <c r="B21" s="194"/>
      <c r="C21" s="195">
        <v>3599499</v>
      </c>
      <c r="D21" s="196">
        <f t="shared" si="0"/>
        <v>3599499</v>
      </c>
      <c r="E21" s="220"/>
    </row>
    <row r="22" spans="1:5" x14ac:dyDescent="0.25">
      <c r="A22" s="193" t="s">
        <v>433</v>
      </c>
      <c r="B22" s="195">
        <v>22233.97</v>
      </c>
      <c r="C22" s="194"/>
      <c r="D22" s="196">
        <f t="shared" si="0"/>
        <v>22233.97</v>
      </c>
      <c r="E22" s="220"/>
    </row>
    <row r="23" spans="1:5" x14ac:dyDescent="0.25">
      <c r="A23" s="193" t="s">
        <v>434</v>
      </c>
      <c r="B23" s="195">
        <v>88048.57</v>
      </c>
      <c r="C23" s="194"/>
      <c r="D23" s="196">
        <f t="shared" si="0"/>
        <v>88048.57</v>
      </c>
      <c r="E23" s="220"/>
    </row>
    <row r="24" spans="1:5" x14ac:dyDescent="0.25">
      <c r="A24" s="193" t="s">
        <v>435</v>
      </c>
      <c r="B24" s="195">
        <v>12567</v>
      </c>
      <c r="C24" s="194"/>
      <c r="D24" s="196">
        <f t="shared" si="0"/>
        <v>12567</v>
      </c>
      <c r="E24" s="220"/>
    </row>
    <row r="25" spans="1:5" x14ac:dyDescent="0.25">
      <c r="A25" s="193" t="s">
        <v>436</v>
      </c>
      <c r="B25" s="195">
        <v>48025</v>
      </c>
      <c r="C25" s="194"/>
      <c r="D25" s="196">
        <f t="shared" si="0"/>
        <v>48025</v>
      </c>
      <c r="E25" s="220"/>
    </row>
    <row r="26" spans="1:5" x14ac:dyDescent="0.25">
      <c r="A26" s="193" t="s">
        <v>437</v>
      </c>
      <c r="B26" s="194"/>
      <c r="C26" s="195">
        <v>33333.32</v>
      </c>
      <c r="D26" s="196">
        <f t="shared" si="0"/>
        <v>33333.32</v>
      </c>
      <c r="E26" s="220"/>
    </row>
    <row r="27" spans="1:5" x14ac:dyDescent="0.25">
      <c r="A27" s="193" t="s">
        <v>152</v>
      </c>
      <c r="B27" s="195">
        <v>28500</v>
      </c>
      <c r="C27" s="194"/>
      <c r="D27" s="196">
        <f t="shared" si="0"/>
        <v>28500</v>
      </c>
      <c r="E27" s="220"/>
    </row>
    <row r="28" spans="1:5" x14ac:dyDescent="0.25">
      <c r="A28" s="193" t="s">
        <v>438</v>
      </c>
      <c r="B28" s="195">
        <v>223840.29</v>
      </c>
      <c r="C28" s="195">
        <v>80000</v>
      </c>
      <c r="D28" s="196">
        <f t="shared" si="0"/>
        <v>303840.29000000004</v>
      </c>
      <c r="E28" s="220"/>
    </row>
    <row r="29" spans="1:5" x14ac:dyDescent="0.25">
      <c r="A29" s="193" t="s">
        <v>439</v>
      </c>
      <c r="B29" s="195">
        <v>87434.44</v>
      </c>
      <c r="C29" s="194"/>
      <c r="D29" s="196">
        <f t="shared" si="0"/>
        <v>87434.44</v>
      </c>
      <c r="E29" s="220"/>
    </row>
    <row r="30" spans="1:5" x14ac:dyDescent="0.25">
      <c r="A30" s="193" t="s">
        <v>440</v>
      </c>
      <c r="B30" s="195">
        <v>1254.73</v>
      </c>
      <c r="C30" s="194"/>
      <c r="D30" s="196">
        <f t="shared" si="0"/>
        <v>1254.73</v>
      </c>
      <c r="E30" s="220"/>
    </row>
    <row r="31" spans="1:5" x14ac:dyDescent="0.25">
      <c r="A31" s="193" t="s">
        <v>441</v>
      </c>
      <c r="B31" s="195">
        <v>77449.75</v>
      </c>
      <c r="C31" s="194"/>
      <c r="D31" s="196">
        <f t="shared" si="0"/>
        <v>77449.75</v>
      </c>
      <c r="E31" s="220"/>
    </row>
    <row r="32" spans="1:5" x14ac:dyDescent="0.25">
      <c r="A32" s="193" t="s">
        <v>158</v>
      </c>
      <c r="B32" s="195">
        <v>1140450</v>
      </c>
      <c r="C32" s="195">
        <v>516000</v>
      </c>
      <c r="D32" s="196">
        <f t="shared" si="0"/>
        <v>1656450</v>
      </c>
      <c r="E32" s="220">
        <f>D32+D33+D34+D35+D36+D37+D38+D39+D40+D41+D42+D43+D44+D45+D46+D47+D48+D49+D50</f>
        <v>5152815.6800000016</v>
      </c>
    </row>
    <row r="33" spans="1:6" x14ac:dyDescent="0.25">
      <c r="A33" s="193" t="s">
        <v>442</v>
      </c>
      <c r="B33" s="194"/>
      <c r="C33" s="195">
        <v>155022.5</v>
      </c>
      <c r="D33" s="196">
        <f t="shared" si="0"/>
        <v>155022.5</v>
      </c>
      <c r="E33" s="220"/>
    </row>
    <row r="34" spans="1:6" x14ac:dyDescent="0.25">
      <c r="A34" s="193" t="s">
        <v>161</v>
      </c>
      <c r="B34" s="195">
        <v>9153</v>
      </c>
      <c r="C34" s="194"/>
      <c r="D34" s="196">
        <f t="shared" si="0"/>
        <v>9153</v>
      </c>
      <c r="E34" s="220"/>
    </row>
    <row r="35" spans="1:6" x14ac:dyDescent="0.25">
      <c r="A35" s="193" t="s">
        <v>164</v>
      </c>
      <c r="B35" s="195">
        <v>12972.4</v>
      </c>
      <c r="C35" s="194"/>
      <c r="D35" s="196">
        <f t="shared" si="0"/>
        <v>12972.4</v>
      </c>
      <c r="E35" s="220"/>
    </row>
    <row r="36" spans="1:6" x14ac:dyDescent="0.25">
      <c r="A36" s="193" t="s">
        <v>171</v>
      </c>
      <c r="B36" s="194"/>
      <c r="C36" s="195">
        <v>14514</v>
      </c>
      <c r="D36" s="196">
        <f t="shared" si="0"/>
        <v>14514</v>
      </c>
      <c r="E36" s="220"/>
    </row>
    <row r="37" spans="1:6" x14ac:dyDescent="0.25">
      <c r="A37" s="193" t="s">
        <v>173</v>
      </c>
      <c r="B37" s="195">
        <v>2994.5</v>
      </c>
      <c r="C37" s="195">
        <v>86083.36</v>
      </c>
      <c r="D37" s="196">
        <f t="shared" si="0"/>
        <v>89077.86</v>
      </c>
      <c r="E37" s="220"/>
    </row>
    <row r="38" spans="1:6" x14ac:dyDescent="0.25">
      <c r="A38" s="193" t="s">
        <v>175</v>
      </c>
      <c r="B38" s="194"/>
      <c r="C38" s="195">
        <v>150450</v>
      </c>
      <c r="D38" s="196">
        <f t="shared" si="0"/>
        <v>150450</v>
      </c>
      <c r="E38" s="220"/>
    </row>
    <row r="39" spans="1:6" x14ac:dyDescent="0.25">
      <c r="A39" s="193" t="s">
        <v>190</v>
      </c>
      <c r="B39" s="195">
        <v>1725.88</v>
      </c>
      <c r="C39" s="194"/>
      <c r="D39" s="196">
        <f t="shared" si="0"/>
        <v>1725.88</v>
      </c>
      <c r="E39" s="220"/>
    </row>
    <row r="40" spans="1:6" x14ac:dyDescent="0.25">
      <c r="A40" s="193" t="s">
        <v>202</v>
      </c>
      <c r="B40" s="195">
        <v>43511.7</v>
      </c>
      <c r="C40" s="194"/>
      <c r="D40" s="196">
        <f t="shared" si="0"/>
        <v>43511.7</v>
      </c>
      <c r="E40" s="220"/>
    </row>
    <row r="41" spans="1:6" x14ac:dyDescent="0.25">
      <c r="A41" s="193" t="s">
        <v>443</v>
      </c>
      <c r="B41" s="195">
        <v>925.06</v>
      </c>
      <c r="C41" s="194"/>
      <c r="D41" s="196">
        <f t="shared" si="0"/>
        <v>925.06</v>
      </c>
      <c r="E41" s="220"/>
      <c r="F41" s="115">
        <f>E13+E51</f>
        <v>9238143.3100000024</v>
      </c>
    </row>
    <row r="42" spans="1:6" x14ac:dyDescent="0.25">
      <c r="A42" s="193" t="s">
        <v>206</v>
      </c>
      <c r="B42" s="195">
        <v>498024.59</v>
      </c>
      <c r="C42" s="194"/>
      <c r="D42" s="196">
        <f t="shared" si="0"/>
        <v>498024.59</v>
      </c>
      <c r="E42" s="220"/>
    </row>
    <row r="43" spans="1:6" x14ac:dyDescent="0.25">
      <c r="A43" s="193" t="s">
        <v>208</v>
      </c>
      <c r="B43" s="194"/>
      <c r="C43" s="195">
        <v>2085000</v>
      </c>
      <c r="D43" s="196">
        <f t="shared" si="0"/>
        <v>2085000</v>
      </c>
      <c r="E43" s="220"/>
    </row>
    <row r="44" spans="1:6" x14ac:dyDescent="0.25">
      <c r="A44" s="193" t="s">
        <v>444</v>
      </c>
      <c r="B44" s="195">
        <v>4954.82</v>
      </c>
      <c r="C44" s="194"/>
      <c r="D44" s="196">
        <f t="shared" si="0"/>
        <v>4954.82</v>
      </c>
      <c r="E44" s="220"/>
    </row>
    <row r="45" spans="1:6" x14ac:dyDescent="0.25">
      <c r="A45" s="193" t="s">
        <v>215</v>
      </c>
      <c r="B45" s="195">
        <v>847.5</v>
      </c>
      <c r="C45" s="194"/>
      <c r="D45" s="196">
        <f t="shared" si="0"/>
        <v>847.5</v>
      </c>
      <c r="E45" s="220"/>
    </row>
    <row r="46" spans="1:6" x14ac:dyDescent="0.25">
      <c r="A46" s="193" t="s">
        <v>220</v>
      </c>
      <c r="B46" s="195">
        <v>7719.44</v>
      </c>
      <c r="C46" s="195">
        <v>153272.93</v>
      </c>
      <c r="D46" s="196">
        <f t="shared" si="0"/>
        <v>160992.37</v>
      </c>
      <c r="E46" s="220"/>
    </row>
    <row r="47" spans="1:6" x14ac:dyDescent="0.25">
      <c r="A47" s="193" t="s">
        <v>445</v>
      </c>
      <c r="B47" s="195">
        <v>1388.45</v>
      </c>
      <c r="C47" s="194"/>
      <c r="D47" s="196">
        <f t="shared" si="0"/>
        <v>1388.45</v>
      </c>
      <c r="E47" s="220"/>
    </row>
    <row r="48" spans="1:6" x14ac:dyDescent="0.25">
      <c r="A48" s="193" t="s">
        <v>222</v>
      </c>
      <c r="B48" s="195">
        <v>105711.57</v>
      </c>
      <c r="C48" s="194"/>
      <c r="D48" s="196">
        <f t="shared" si="0"/>
        <v>105711.57</v>
      </c>
      <c r="E48" s="220"/>
    </row>
    <row r="49" spans="1:6" x14ac:dyDescent="0.25">
      <c r="A49" s="193" t="s">
        <v>446</v>
      </c>
      <c r="B49" s="195">
        <v>8413.98</v>
      </c>
      <c r="C49" s="194"/>
      <c r="D49" s="196">
        <f t="shared" si="0"/>
        <v>8413.98</v>
      </c>
      <c r="E49" s="220"/>
      <c r="F49" s="110"/>
    </row>
    <row r="50" spans="1:6" x14ac:dyDescent="0.25">
      <c r="A50" s="193" t="s">
        <v>447</v>
      </c>
      <c r="B50" s="195">
        <v>153680</v>
      </c>
      <c r="C50" s="194"/>
      <c r="D50" s="196">
        <f t="shared" si="0"/>
        <v>153680</v>
      </c>
      <c r="E50" s="220"/>
      <c r="F50" s="110"/>
    </row>
    <row r="51" spans="1:6" x14ac:dyDescent="0.25">
      <c r="A51" s="193" t="s">
        <v>448</v>
      </c>
      <c r="B51" s="195">
        <v>1120000</v>
      </c>
      <c r="C51" s="194"/>
      <c r="D51" s="196">
        <f t="shared" si="0"/>
        <v>1120000</v>
      </c>
      <c r="E51" s="196">
        <f>D51</f>
        <v>1120000</v>
      </c>
      <c r="F51" s="110">
        <f>+E32+E13+E10+E9+E7+E4+E51</f>
        <v>24833342.690000005</v>
      </c>
    </row>
    <row r="52" spans="1:6" x14ac:dyDescent="0.25">
      <c r="A52" s="193" t="s">
        <v>449</v>
      </c>
      <c r="B52" s="195">
        <v>5424</v>
      </c>
      <c r="C52" s="194"/>
      <c r="D52" s="196">
        <f t="shared" si="0"/>
        <v>5424</v>
      </c>
      <c r="E52" s="220">
        <f>D52+D53</f>
        <v>7006</v>
      </c>
      <c r="F52" s="110">
        <v>2067383.33</v>
      </c>
    </row>
    <row r="53" spans="1:6" x14ac:dyDescent="0.25">
      <c r="A53" s="193" t="s">
        <v>450</v>
      </c>
      <c r="B53" s="195">
        <v>1582</v>
      </c>
      <c r="C53" s="194"/>
      <c r="D53" s="196">
        <f t="shared" si="0"/>
        <v>1582</v>
      </c>
      <c r="E53" s="220"/>
      <c r="F53" s="115">
        <f>SUM(F51:F52)</f>
        <v>26900726.020000003</v>
      </c>
    </row>
    <row r="54" spans="1:6" x14ac:dyDescent="0.25">
      <c r="A54" s="193" t="s">
        <v>451</v>
      </c>
      <c r="B54" s="194">
        <v>5408.59</v>
      </c>
      <c r="C54" s="194"/>
      <c r="D54" s="196">
        <f t="shared" si="0"/>
        <v>5408.59</v>
      </c>
      <c r="E54" s="196">
        <f>D54</f>
        <v>5408.59</v>
      </c>
      <c r="F54" s="115">
        <f>F53-' ERF-Rendimiento Financiero'!F23</f>
        <v>7998586.0100000054</v>
      </c>
    </row>
    <row r="55" spans="1:6" x14ac:dyDescent="0.25">
      <c r="A55" s="193"/>
      <c r="B55" s="197">
        <f>SUM(B4:B54)</f>
        <v>5227672.9799999995</v>
      </c>
      <c r="C55" s="197">
        <f>SUM(C4:C54)</f>
        <v>19618084.300000001</v>
      </c>
      <c r="D55" s="198">
        <f t="shared" si="0"/>
        <v>24845757.280000001</v>
      </c>
      <c r="E55" s="198">
        <f>SUM(E4:E54)</f>
        <v>24845757.280000005</v>
      </c>
    </row>
    <row r="58" spans="1:6" x14ac:dyDescent="0.25">
      <c r="D58" s="193" t="s">
        <v>452</v>
      </c>
      <c r="E58" s="196">
        <f>[1]ENERO!C43+[1]FEBRERO!C49+[1]MARZO!C37+C55</f>
        <v>64789167.739999995</v>
      </c>
    </row>
    <row r="59" spans="1:6" x14ac:dyDescent="0.25">
      <c r="D59" s="193" t="s">
        <v>412</v>
      </c>
      <c r="E59" s="196">
        <f>[1]ENERO!B43+[1]FEBRERO!B49+[1]MARZO!B37+B55</f>
        <v>18069509.429067798</v>
      </c>
    </row>
    <row r="60" spans="1:6" x14ac:dyDescent="0.25">
      <c r="D60" s="200" t="s">
        <v>414</v>
      </c>
      <c r="E60" s="198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9"/>
  <sheetViews>
    <sheetView workbookViewId="0">
      <pane ySplit="11" topLeftCell="A111" activePane="bottomLeft" state="frozen"/>
      <selection pane="bottomLeft" activeCell="F20" sqref="F20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D331235</f>
        <v>0</v>
      </c>
      <c r="E2" s="7">
        <f>E331235</f>
        <v>0</v>
      </c>
      <c r="F2" s="7">
        <f>F331235</f>
        <v>0</v>
      </c>
      <c r="G2" s="8"/>
      <c r="I2" s="9" t="s">
        <v>1</v>
      </c>
      <c r="J2" s="7">
        <f>SUM(J13:J168)</f>
        <v>149724216.07999998</v>
      </c>
      <c r="K2" s="7">
        <f t="shared" ref="K2:Q2" si="0">SUM(K13:K172)</f>
        <v>0</v>
      </c>
      <c r="L2" s="7">
        <f t="shared" si="0"/>
        <v>0</v>
      </c>
      <c r="M2" s="7">
        <f t="shared" si="0"/>
        <v>279827939.73999995</v>
      </c>
      <c r="N2" s="7">
        <f t="shared" si="0"/>
        <v>-132282260.66999999</v>
      </c>
      <c r="O2" s="7">
        <f t="shared" si="0"/>
        <v>117591127.00999999</v>
      </c>
      <c r="P2" s="7">
        <f t="shared" si="0"/>
        <v>-38602942.660000011</v>
      </c>
      <c r="Q2" s="7">
        <f t="shared" si="0"/>
        <v>0</v>
      </c>
      <c r="S2" s="7">
        <f>SUM(N2:R2)</f>
        <v>-53294076.320000008</v>
      </c>
      <c r="T2" s="7"/>
      <c r="U2" s="10">
        <f>SUM(U13:U172)</f>
        <v>11372240.82</v>
      </c>
      <c r="V2" s="10">
        <f>SUM(V13:V172)</f>
        <v>0</v>
      </c>
      <c r="W2" s="10">
        <f>SUM(W13:W172)</f>
        <v>-4328896.18</v>
      </c>
      <c r="X2" s="7">
        <f>SUM(X13:X172)</f>
        <v>0</v>
      </c>
      <c r="Z2" s="7">
        <f>+O2+P2-N2</f>
        <v>211270445.01999998</v>
      </c>
    </row>
    <row r="3" spans="1:30" hidden="1" x14ac:dyDescent="0.25">
      <c r="C3" s="6"/>
      <c r="D3" s="11">
        <f>+SUBTOTAL(9,D13:D173)</f>
        <v>167714274.86999997</v>
      </c>
      <c r="E3" s="6"/>
      <c r="F3" s="11">
        <f>+SUBTOTAL(9,F13:F173)</f>
        <v>182101573.52999991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224" t="s">
        <v>2</v>
      </c>
      <c r="D5" s="224"/>
      <c r="E5" s="224"/>
      <c r="F5" s="224"/>
      <c r="G5" s="13"/>
      <c r="I5" s="224" t="s">
        <v>2</v>
      </c>
      <c r="J5" s="224"/>
      <c r="K5" s="224"/>
      <c r="L5" s="224"/>
      <c r="O5" s="7"/>
      <c r="S5" s="225" t="s">
        <v>3</v>
      </c>
    </row>
    <row r="6" spans="1:30" ht="15.75" x14ac:dyDescent="0.25">
      <c r="B6" s="12"/>
      <c r="C6" s="224" t="s">
        <v>4</v>
      </c>
      <c r="D6" s="224"/>
      <c r="E6" s="224"/>
      <c r="F6" s="224"/>
      <c r="G6" s="14">
        <v>184516606.18000001</v>
      </c>
      <c r="H6" s="7">
        <f>+G6+D26</f>
        <v>-2178537.0099999905</v>
      </c>
      <c r="I6" s="224" t="s">
        <v>5</v>
      </c>
      <c r="J6" s="224"/>
      <c r="K6" s="224"/>
      <c r="L6" s="224"/>
      <c r="M6" s="7"/>
      <c r="P6" s="7"/>
      <c r="S6" s="225"/>
    </row>
    <row r="7" spans="1:30" ht="15.75" x14ac:dyDescent="0.25">
      <c r="B7" s="12"/>
      <c r="C7" s="224" t="s">
        <v>473</v>
      </c>
      <c r="D7" s="224"/>
      <c r="E7" s="224"/>
      <c r="F7" s="224"/>
      <c r="G7" s="15">
        <v>-183039201.93000001</v>
      </c>
      <c r="H7" s="16"/>
      <c r="I7" s="224" t="s">
        <v>6</v>
      </c>
      <c r="J7" s="224"/>
      <c r="K7" s="224"/>
      <c r="L7" s="224"/>
      <c r="S7" s="225"/>
    </row>
    <row r="8" spans="1:30" ht="15.75" x14ac:dyDescent="0.25">
      <c r="B8" s="12"/>
      <c r="C8" s="224" t="s">
        <v>7</v>
      </c>
      <c r="D8" s="224"/>
      <c r="E8" s="224"/>
      <c r="F8" s="224"/>
      <c r="G8" s="15">
        <f>+G6+G7</f>
        <v>1477404.25</v>
      </c>
      <c r="H8" s="16"/>
      <c r="I8" s="224" t="s">
        <v>7</v>
      </c>
      <c r="J8" s="224"/>
      <c r="K8" s="224"/>
      <c r="L8" s="224"/>
      <c r="P8" s="7"/>
      <c r="S8" s="225"/>
      <c r="T8" s="222" t="s">
        <v>8</v>
      </c>
      <c r="U8" s="222"/>
      <c r="V8" s="222"/>
      <c r="W8" s="222"/>
      <c r="X8" s="222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225"/>
    </row>
    <row r="10" spans="1:30" ht="27" customHeight="1" x14ac:dyDescent="0.25">
      <c r="C10" s="9"/>
      <c r="G10" s="13"/>
      <c r="H10" s="16"/>
      <c r="J10" s="9" t="s">
        <v>9</v>
      </c>
      <c r="K10" s="223" t="s">
        <v>10</v>
      </c>
      <c r="L10" s="223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225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2025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2" si="1">SUM(N12:R12)</f>
        <v>0</v>
      </c>
      <c r="T12" s="30" t="e">
        <f t="shared" ref="T12:T41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457</v>
      </c>
      <c r="D13" s="16">
        <v>44284.95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461</v>
      </c>
      <c r="D14" s="16">
        <v>2614.8000000000002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462</v>
      </c>
      <c r="D15" s="16">
        <v>0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6">
        <v>354405.73</v>
      </c>
      <c r="E16" s="7"/>
      <c r="F16" s="32"/>
      <c r="G16" s="15"/>
      <c r="H16" s="3">
        <f>G13+H13</f>
        <v>0</v>
      </c>
      <c r="I16" s="3" t="s">
        <v>42</v>
      </c>
      <c r="J16" s="7">
        <f>D16+D17+D19+D20</f>
        <v>20035708.219999999</v>
      </c>
      <c r="M16" s="7">
        <f>F16+F17+F19+'EFE-Flujo de Efectivo'!P62</f>
        <v>0</v>
      </c>
      <c r="N16" s="8">
        <f>+J16+K16-L16-M16</f>
        <v>20035708.219999999</v>
      </c>
      <c r="O16" s="7">
        <f>-N16</f>
        <v>-20035708.219999999</v>
      </c>
      <c r="P16" s="7"/>
      <c r="Q16" s="7"/>
      <c r="R16" s="7"/>
      <c r="S16" s="7">
        <f t="shared" si="1"/>
        <v>0</v>
      </c>
      <c r="T16" s="30">
        <f t="shared" si="2"/>
        <v>-20035708.219999999</v>
      </c>
      <c r="Y16" s="7"/>
    </row>
    <row r="17" spans="1:25" ht="15.75" x14ac:dyDescent="0.25">
      <c r="A17" s="1" t="s">
        <v>40</v>
      </c>
      <c r="C17" s="31" t="s">
        <v>43</v>
      </c>
      <c r="D17" s="16">
        <v>0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469</v>
      </c>
      <c r="D18" s="16"/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10090268.199999999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9591034.2899999991</v>
      </c>
      <c r="E20" s="7"/>
      <c r="G20" s="13"/>
      <c r="H20" s="32"/>
      <c r="J20" s="7"/>
      <c r="M20" s="7"/>
      <c r="N20" s="8">
        <f t="shared" ref="N20:N88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471</v>
      </c>
      <c r="D21" s="16">
        <v>3252025.38</v>
      </c>
      <c r="E21" s="7"/>
      <c r="G21" s="13"/>
      <c r="H21" s="32"/>
      <c r="J21" s="7"/>
      <c r="M21" s="7"/>
      <c r="N21" s="8"/>
      <c r="O21" s="7"/>
      <c r="P21" s="7"/>
      <c r="Q21" s="7"/>
      <c r="R21" s="7"/>
      <c r="S21" s="7"/>
      <c r="T21" s="30"/>
      <c r="Y21" s="7"/>
    </row>
    <row r="22" spans="1:25" x14ac:dyDescent="0.25">
      <c r="A22" s="1" t="s">
        <v>40</v>
      </c>
      <c r="C22" s="31" t="s">
        <v>47</v>
      </c>
      <c r="D22" s="16"/>
      <c r="E22" s="7"/>
      <c r="F22" s="7"/>
      <c r="G22" s="13"/>
      <c r="H22" s="7"/>
      <c r="I22" s="3" t="str">
        <f>+C22</f>
        <v>CI 7297 Prevencion para Des. Temp. Ciclonica</v>
      </c>
      <c r="J22" s="7">
        <f>D22</f>
        <v>0</v>
      </c>
      <c r="M22" s="7"/>
      <c r="N22" s="8">
        <f t="shared" si="3"/>
        <v>0</v>
      </c>
      <c r="O22" s="7">
        <f>-N22</f>
        <v>0</v>
      </c>
      <c r="P22" s="7"/>
      <c r="Q22" s="7"/>
      <c r="S22" s="7">
        <f t="shared" si="1"/>
        <v>0</v>
      </c>
      <c r="T22" s="30">
        <f t="shared" si="2"/>
        <v>0</v>
      </c>
      <c r="Y22" s="7"/>
    </row>
    <row r="23" spans="1:25" x14ac:dyDescent="0.25">
      <c r="A23" s="1" t="s">
        <v>48</v>
      </c>
      <c r="C23" s="3" t="s">
        <v>49</v>
      </c>
      <c r="D23" s="16">
        <v>3081292.04</v>
      </c>
      <c r="E23" s="7"/>
      <c r="F23" s="32"/>
      <c r="G23" s="15"/>
      <c r="H23" s="3" t="s">
        <v>50</v>
      </c>
      <c r="I23" s="3" t="str">
        <f>+C23</f>
        <v>Material gastable</v>
      </c>
      <c r="J23" s="7">
        <f>D23</f>
        <v>3081292.04</v>
      </c>
      <c r="M23" s="7">
        <f>F23</f>
        <v>0</v>
      </c>
      <c r="N23" s="8">
        <f t="shared" si="3"/>
        <v>3081292.04</v>
      </c>
      <c r="O23" s="7">
        <f>-N23</f>
        <v>-3081292.04</v>
      </c>
      <c r="P23" s="7"/>
      <c r="Q23" s="7"/>
      <c r="S23" s="7">
        <f>SUM(N23:R23)</f>
        <v>0</v>
      </c>
      <c r="T23" s="30">
        <f t="shared" si="2"/>
        <v>-3081292.04</v>
      </c>
      <c r="W23" s="7"/>
      <c r="Y23" s="7"/>
    </row>
    <row r="24" spans="1:25" x14ac:dyDescent="0.25">
      <c r="A24" s="1" t="s">
        <v>51</v>
      </c>
      <c r="C24" s="3" t="s">
        <v>52</v>
      </c>
      <c r="D24" s="16"/>
      <c r="E24" s="7"/>
      <c r="F24" s="7">
        <f>+D26-H6</f>
        <v>-184516606.18000001</v>
      </c>
      <c r="G24" s="15"/>
      <c r="J24" s="7">
        <f>D24</f>
        <v>0</v>
      </c>
      <c r="M24" s="7"/>
      <c r="N24" s="8">
        <f t="shared" si="3"/>
        <v>0</v>
      </c>
      <c r="O24" s="7">
        <f>-N24</f>
        <v>0</v>
      </c>
      <c r="P24" s="7"/>
      <c r="Q24" s="7">
        <f>N3-'[2]ECANP-Cambio Patrimonio'!M21</f>
        <v>0</v>
      </c>
      <c r="S24" s="7">
        <f t="shared" si="1"/>
        <v>0</v>
      </c>
      <c r="T24" s="30">
        <f t="shared" si="2"/>
        <v>0</v>
      </c>
      <c r="W24" s="7">
        <f>+O24</f>
        <v>0</v>
      </c>
      <c r="Y24" s="7">
        <f>SUM(T24:X24)-O24</f>
        <v>0</v>
      </c>
    </row>
    <row r="25" spans="1:25" ht="15.75" x14ac:dyDescent="0.25">
      <c r="A25" s="1" t="s">
        <v>53</v>
      </c>
      <c r="C25" s="3" t="s">
        <v>54</v>
      </c>
      <c r="D25" s="34">
        <f>258236993.91+14758688.43</f>
        <v>272995682.33999997</v>
      </c>
      <c r="E25" s="7"/>
      <c r="F25" s="7">
        <v>3653530.2</v>
      </c>
      <c r="G25" s="14">
        <v>642444</v>
      </c>
      <c r="H25" s="3" t="s">
        <v>55</v>
      </c>
      <c r="I25" s="3" t="str">
        <f>+C25</f>
        <v>Mobiliarios y equipos de oficina</v>
      </c>
      <c r="J25" s="7">
        <f>D25</f>
        <v>272995682.33999997</v>
      </c>
      <c r="K25" s="8"/>
      <c r="M25" s="7">
        <f>F25</f>
        <v>3653530.2</v>
      </c>
      <c r="N25" s="8">
        <f t="shared" si="3"/>
        <v>269342152.13999999</v>
      </c>
      <c r="O25" s="7">
        <f>-N25</f>
        <v>-269342152.13999999</v>
      </c>
      <c r="P25" s="7"/>
      <c r="Q25" s="7"/>
      <c r="S25" s="7"/>
      <c r="T25" s="30">
        <f t="shared" si="2"/>
        <v>-269342152.13999999</v>
      </c>
      <c r="Y25" s="7">
        <f>SUM(T25:X25)-O25</f>
        <v>0</v>
      </c>
    </row>
    <row r="26" spans="1:25" x14ac:dyDescent="0.25">
      <c r="A26" s="1" t="s">
        <v>53</v>
      </c>
      <c r="C26" s="3" t="s">
        <v>56</v>
      </c>
      <c r="D26" s="35">
        <v>-186695143.19</v>
      </c>
      <c r="E26" s="7"/>
      <c r="F26" s="7">
        <f>D25+F25</f>
        <v>276649212.53999996</v>
      </c>
      <c r="G26" s="14"/>
      <c r="I26" s="3" t="str">
        <f>+C26</f>
        <v>Depreciación acumulada</v>
      </c>
      <c r="J26" s="7">
        <f>D26</f>
        <v>-186695143.19</v>
      </c>
      <c r="K26" s="36"/>
      <c r="L26" s="8"/>
      <c r="M26" s="7">
        <f>F26</f>
        <v>276649212.53999996</v>
      </c>
      <c r="N26" s="8">
        <f t="shared" si="3"/>
        <v>-463344355.72999996</v>
      </c>
      <c r="O26" s="7">
        <f>-N26</f>
        <v>463344355.72999996</v>
      </c>
      <c r="P26" s="7"/>
      <c r="Q26" s="7">
        <f>N5-'[2]ECANP-Cambio Patrimonio'!M23</f>
        <v>0</v>
      </c>
      <c r="S26" s="7">
        <f t="shared" si="1"/>
        <v>0</v>
      </c>
      <c r="T26" s="30">
        <f t="shared" si="2"/>
        <v>463344355.72999996</v>
      </c>
      <c r="Y26" s="7">
        <f>SUM(T26:X26)-O26</f>
        <v>0</v>
      </c>
    </row>
    <row r="27" spans="1:25" x14ac:dyDescent="0.25">
      <c r="A27" s="1" t="s">
        <v>57</v>
      </c>
      <c r="C27" s="3" t="s">
        <v>58</v>
      </c>
      <c r="D27" s="16"/>
      <c r="E27" s="7"/>
      <c r="F27" s="7">
        <f>D25+D26</f>
        <v>86300539.149999976</v>
      </c>
      <c r="G27" s="14">
        <f>D25+G25</f>
        <v>273638126.33999997</v>
      </c>
      <c r="H27" s="3" t="s">
        <v>55</v>
      </c>
      <c r="I27" s="3" t="str">
        <f>+C27</f>
        <v>Intangibles</v>
      </c>
      <c r="J27" s="7">
        <f>+D27</f>
        <v>0</v>
      </c>
      <c r="K27" s="8"/>
      <c r="L27" s="7"/>
      <c r="M27" s="7"/>
      <c r="N27" s="8">
        <f t="shared" si="3"/>
        <v>0</v>
      </c>
      <c r="P27" s="7">
        <f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A28" s="1" t="s">
        <v>57</v>
      </c>
      <c r="C28" s="3" t="s">
        <v>59</v>
      </c>
      <c r="D28" s="16"/>
      <c r="E28" s="7"/>
      <c r="F28" s="7"/>
      <c r="G28" s="14"/>
      <c r="I28" s="3" t="str">
        <f>+C28</f>
        <v>Amortización</v>
      </c>
      <c r="J28" s="7">
        <f>+D28</f>
        <v>0</v>
      </c>
      <c r="K28" s="7"/>
      <c r="L28" s="7"/>
      <c r="M28" s="7"/>
      <c r="N28" s="8">
        <f t="shared" si="3"/>
        <v>0</v>
      </c>
      <c r="P28" s="7">
        <f t="shared" ref="P28:P95" si="4">-N28</f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D29" s="16"/>
      <c r="E29" s="7"/>
      <c r="F29" s="7"/>
      <c r="G29" s="14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33</v>
      </c>
      <c r="C30" s="27" t="s">
        <v>60</v>
      </c>
      <c r="D30" s="16"/>
      <c r="E30" s="7"/>
      <c r="F30" s="7"/>
      <c r="G30" s="15"/>
      <c r="J30" s="7"/>
      <c r="K30" s="7"/>
      <c r="L30" s="7"/>
      <c r="M30" s="7"/>
      <c r="N30" s="8">
        <f t="shared" si="3"/>
        <v>0</v>
      </c>
      <c r="P30" s="7">
        <f t="shared" si="4"/>
        <v>0</v>
      </c>
      <c r="S30" s="7">
        <f t="shared" si="1"/>
        <v>0</v>
      </c>
      <c r="T30" s="30">
        <f t="shared" si="2"/>
        <v>0</v>
      </c>
      <c r="Y30" s="7"/>
    </row>
    <row r="31" spans="1:25" x14ac:dyDescent="0.25">
      <c r="A31" s="1" t="s">
        <v>61</v>
      </c>
      <c r="C31" s="3" t="s">
        <v>62</v>
      </c>
      <c r="D31" s="32">
        <v>-14841761.300000001</v>
      </c>
      <c r="E31" s="7"/>
      <c r="F31" s="7">
        <v>-11393773</v>
      </c>
      <c r="G31" s="14">
        <f>F31-'[3]EFE-Flujo de Efectivo'!C53</f>
        <v>-5617877.4699999997</v>
      </c>
      <c r="H31" s="3" t="s">
        <v>50</v>
      </c>
      <c r="I31" s="3" t="str">
        <f>+C31</f>
        <v>Cuentas por pagar</v>
      </c>
      <c r="J31" s="7">
        <f>+D31</f>
        <v>-14841761.300000001</v>
      </c>
      <c r="K31" s="7"/>
      <c r="L31" s="7"/>
      <c r="M31" s="7"/>
      <c r="N31" s="8">
        <f t="shared" si="3"/>
        <v>-14841761.300000001</v>
      </c>
      <c r="O31" s="7">
        <f>-N31</f>
        <v>14841761.300000001</v>
      </c>
      <c r="P31" s="7">
        <f t="shared" si="4"/>
        <v>14841761.300000001</v>
      </c>
      <c r="S31" s="7">
        <f>SUM(N31:R31)</f>
        <v>14841761.300000001</v>
      </c>
      <c r="T31" s="30">
        <f t="shared" si="2"/>
        <v>14841761.300000001</v>
      </c>
      <c r="W31" s="7"/>
      <c r="Y31" s="7">
        <f>SUM(T31:X31)-O31</f>
        <v>0</v>
      </c>
    </row>
    <row r="32" spans="1:25" x14ac:dyDescent="0.25">
      <c r="A32" s="1" t="s">
        <v>63</v>
      </c>
      <c r="C32" s="3" t="s">
        <v>64</v>
      </c>
      <c r="D32" s="37">
        <v>-410770.97</v>
      </c>
      <c r="E32" s="7"/>
      <c r="F32" s="7">
        <v>-474803</v>
      </c>
      <c r="G32" s="14">
        <f>D32-F32</f>
        <v>64032.030000000028</v>
      </c>
      <c r="I32" s="3" t="str">
        <f>+C32</f>
        <v>Retenciones y acumulaciones por pagar</v>
      </c>
      <c r="J32" s="7">
        <f>+D32</f>
        <v>-410770.97</v>
      </c>
      <c r="K32" s="7"/>
      <c r="L32" s="7"/>
      <c r="M32" s="7">
        <f>F32</f>
        <v>-474803</v>
      </c>
      <c r="N32" s="8">
        <f t="shared" si="3"/>
        <v>64032.030000000028</v>
      </c>
      <c r="O32" s="7">
        <f>-N32</f>
        <v>-64032.030000000028</v>
      </c>
      <c r="P32" s="7">
        <f t="shared" si="4"/>
        <v>-64032.030000000028</v>
      </c>
      <c r="S32" s="7">
        <f t="shared" si="1"/>
        <v>-64032.030000000028</v>
      </c>
      <c r="T32" s="30">
        <f t="shared" si="2"/>
        <v>-64032.030000000028</v>
      </c>
      <c r="Y32" s="7">
        <f>SUM(T32:X32)-O32</f>
        <v>0</v>
      </c>
    </row>
    <row r="33" spans="1:25" x14ac:dyDescent="0.25">
      <c r="C33" s="3" t="s">
        <v>65</v>
      </c>
      <c r="D33" s="16"/>
      <c r="E33" s="7"/>
      <c r="F33" s="7"/>
      <c r="G33" s="14">
        <f>D33-F33</f>
        <v>0</v>
      </c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A34" s="1" t="s">
        <v>33</v>
      </c>
      <c r="C34" s="27" t="s">
        <v>66</v>
      </c>
      <c r="D34" s="16"/>
      <c r="E34" s="7"/>
      <c r="F34" s="7"/>
      <c r="G34" s="13"/>
      <c r="J34" s="7"/>
      <c r="K34" s="7"/>
      <c r="L34" s="7"/>
      <c r="M34" s="7"/>
      <c r="N34" s="8">
        <f t="shared" si="3"/>
        <v>0</v>
      </c>
      <c r="O34" s="7"/>
      <c r="P34" s="7">
        <f t="shared" si="4"/>
        <v>0</v>
      </c>
      <c r="S34" s="7">
        <f t="shared" si="1"/>
        <v>0</v>
      </c>
      <c r="T34" s="30">
        <f t="shared" si="2"/>
        <v>0</v>
      </c>
      <c r="Y34" s="7"/>
    </row>
    <row r="35" spans="1:25" x14ac:dyDescent="0.25">
      <c r="C35" s="38" t="s">
        <v>67</v>
      </c>
      <c r="D35" s="16">
        <f>'[3]ECANP-Cambio Patrimonio'!D20</f>
        <v>51695326</v>
      </c>
      <c r="E35" s="8"/>
      <c r="F35" s="8"/>
      <c r="G35" s="13"/>
      <c r="J35" s="7">
        <f>D35</f>
        <v>51695326</v>
      </c>
      <c r="K35" s="7"/>
      <c r="L35" s="7"/>
      <c r="M35" s="7">
        <f>F35</f>
        <v>0</v>
      </c>
      <c r="N35" s="8">
        <f t="shared" si="3"/>
        <v>51695326</v>
      </c>
      <c r="O35" s="7">
        <f>-N35</f>
        <v>-51695326</v>
      </c>
      <c r="P35" s="7">
        <f t="shared" si="4"/>
        <v>-51695326</v>
      </c>
      <c r="S35" s="7">
        <f t="shared" si="1"/>
        <v>-51695326</v>
      </c>
      <c r="T35" s="30">
        <f t="shared" si="2"/>
        <v>-51695326</v>
      </c>
      <c r="Y35" s="7"/>
    </row>
    <row r="36" spans="1:25" x14ac:dyDescent="0.25">
      <c r="A36" s="1" t="s">
        <v>68</v>
      </c>
      <c r="C36" s="3" t="s">
        <v>69</v>
      </c>
      <c r="D36" s="16">
        <f>'[3]ECANP-Cambio Patrimonio'!G13</f>
        <v>18555016.600000001</v>
      </c>
      <c r="E36" s="8"/>
      <c r="F36" s="8"/>
      <c r="G36" s="13">
        <v>2098358.34</v>
      </c>
      <c r="I36" s="3" t="str">
        <f>+C36</f>
        <v>Resultado acumulado</v>
      </c>
      <c r="J36" s="7">
        <f>D36</f>
        <v>18555016.600000001</v>
      </c>
      <c r="K36" s="7"/>
      <c r="L36" s="7"/>
      <c r="M36" s="7">
        <f>F36</f>
        <v>0</v>
      </c>
      <c r="N36" s="8">
        <f>+J36+K36-L36-M36</f>
        <v>18555016.600000001</v>
      </c>
      <c r="O36" s="7">
        <f>-N36</f>
        <v>-18555016.600000001</v>
      </c>
      <c r="P36" s="7">
        <f t="shared" si="4"/>
        <v>-18555016.600000001</v>
      </c>
      <c r="S36" s="7">
        <f t="shared" si="1"/>
        <v>-18555016.600000001</v>
      </c>
      <c r="T36" s="30">
        <f t="shared" si="2"/>
        <v>-18555016.600000001</v>
      </c>
      <c r="W36" s="7"/>
      <c r="Y36" s="7">
        <f>SUM(T36:X36)-O36</f>
        <v>0</v>
      </c>
    </row>
    <row r="37" spans="1:25" ht="15" customHeight="1" x14ac:dyDescent="0.25">
      <c r="A37" s="1" t="s">
        <v>70</v>
      </c>
      <c r="C37" s="3" t="s">
        <v>71</v>
      </c>
      <c r="D37" s="16">
        <f>'ECANP-Cambio Patrimonio'!G19</f>
        <v>-3491006.3499999978</v>
      </c>
      <c r="E37" s="30"/>
      <c r="F37" s="8"/>
      <c r="G37" s="13"/>
      <c r="I37" s="3" t="str">
        <f>+C37</f>
        <v>Resultado del período</v>
      </c>
      <c r="J37" s="7">
        <f>D37</f>
        <v>-3491006.3499999978</v>
      </c>
      <c r="K37" s="7"/>
      <c r="L37" s="7"/>
      <c r="M37" s="7">
        <f>F37</f>
        <v>0</v>
      </c>
      <c r="N37" s="8">
        <f>+J37+K37-L37-M37</f>
        <v>-3491006.3499999978</v>
      </c>
      <c r="O37" s="7">
        <f>-N37</f>
        <v>3491006.3499999978</v>
      </c>
      <c r="P37" s="7">
        <f t="shared" si="4"/>
        <v>3491006.3499999978</v>
      </c>
      <c r="S37" s="7">
        <f t="shared" si="1"/>
        <v>3491006.3499999978</v>
      </c>
      <c r="T37" s="30">
        <f t="shared" si="2"/>
        <v>3491006.3499999978</v>
      </c>
      <c r="Y37" s="7"/>
    </row>
    <row r="38" spans="1:25" s="40" customFormat="1" ht="15.6" customHeight="1" x14ac:dyDescent="0.25">
      <c r="A38" s="39"/>
      <c r="B38" s="2"/>
      <c r="C38" s="40" t="s">
        <v>72</v>
      </c>
      <c r="D38" s="41"/>
      <c r="E38" s="42"/>
      <c r="F38" s="42"/>
      <c r="G38" s="43"/>
      <c r="I38" s="3" t="str">
        <f>+C38</f>
        <v>Ajustes</v>
      </c>
      <c r="J38" s="7">
        <f>D41</f>
        <v>-210000</v>
      </c>
      <c r="K38" s="17"/>
      <c r="M38" s="17"/>
      <c r="N38" s="8">
        <f t="shared" si="3"/>
        <v>-210000</v>
      </c>
      <c r="O38" s="7">
        <f>-N38</f>
        <v>210000</v>
      </c>
      <c r="P38" s="7">
        <f t="shared" si="4"/>
        <v>210000</v>
      </c>
      <c r="Q38" s="3"/>
      <c r="S38" s="7">
        <f t="shared" si="1"/>
        <v>210000</v>
      </c>
      <c r="T38" s="30">
        <f t="shared" si="2"/>
        <v>210000</v>
      </c>
      <c r="Y38" s="17"/>
    </row>
    <row r="39" spans="1:25" s="40" customFormat="1" x14ac:dyDescent="0.25">
      <c r="A39" s="39"/>
      <c r="B39" s="2"/>
      <c r="D39" s="41"/>
      <c r="E39" s="30"/>
      <c r="F39" s="42"/>
      <c r="G39" s="43"/>
      <c r="I39" s="17"/>
      <c r="J39" s="7">
        <f t="shared" ref="J39" si="5">D42</f>
        <v>-14691133.66</v>
      </c>
      <c r="K39" s="17"/>
      <c r="M39" s="17"/>
      <c r="N39" s="8">
        <f t="shared" si="3"/>
        <v>-14691133.66</v>
      </c>
      <c r="O39" s="17"/>
      <c r="P39" s="7">
        <f t="shared" si="4"/>
        <v>14691133.66</v>
      </c>
      <c r="Q39" s="3"/>
      <c r="S39" s="7">
        <f>SUM(N39:R39)</f>
        <v>0</v>
      </c>
      <c r="T39" s="30">
        <f t="shared" si="2"/>
        <v>14691133.66</v>
      </c>
      <c r="Y39" s="17"/>
    </row>
    <row r="40" spans="1:25" s="40" customFormat="1" x14ac:dyDescent="0.25">
      <c r="A40" s="39" t="s">
        <v>33</v>
      </c>
      <c r="B40" s="2"/>
      <c r="C40" s="27" t="s">
        <v>73</v>
      </c>
      <c r="D40" s="41"/>
      <c r="E40" s="30"/>
      <c r="F40" s="8"/>
      <c r="G40" s="43"/>
      <c r="J40" s="7">
        <f>D44</f>
        <v>-510000</v>
      </c>
      <c r="M40" s="17"/>
      <c r="N40" s="8">
        <f t="shared" si="3"/>
        <v>-510000</v>
      </c>
      <c r="O40" s="17">
        <f>-N40</f>
        <v>510000</v>
      </c>
      <c r="P40" s="7">
        <f t="shared" si="4"/>
        <v>510000</v>
      </c>
      <c r="Q40" s="3"/>
      <c r="S40" s="7">
        <f t="shared" si="1"/>
        <v>510000</v>
      </c>
      <c r="T40" s="30">
        <f t="shared" si="2"/>
        <v>510000</v>
      </c>
      <c r="Y40" s="17">
        <f t="shared" ref="Y40:Y65" si="6">SUM(T40:X40)-O40</f>
        <v>0</v>
      </c>
    </row>
    <row r="41" spans="1:25" s="42" customFormat="1" x14ac:dyDescent="0.25">
      <c r="A41" s="44" t="s">
        <v>74</v>
      </c>
      <c r="B41" s="45"/>
      <c r="C41" s="3" t="s">
        <v>75</v>
      </c>
      <c r="D41" s="46">
        <v>-210000</v>
      </c>
      <c r="E41" s="30">
        <v>-1055000</v>
      </c>
      <c r="F41" s="8"/>
      <c r="G41" s="30"/>
      <c r="I41" s="42" t="s">
        <v>75</v>
      </c>
      <c r="J41" s="7">
        <f>D45</f>
        <v>0</v>
      </c>
      <c r="M41" s="30">
        <f>F41</f>
        <v>0</v>
      </c>
      <c r="N41" s="8">
        <f t="shared" si="3"/>
        <v>0</v>
      </c>
      <c r="O41" s="30">
        <f>-N41</f>
        <v>0</v>
      </c>
      <c r="P41" s="7">
        <f t="shared" si="4"/>
        <v>0</v>
      </c>
      <c r="Q41" s="3"/>
      <c r="S41" s="7">
        <f t="shared" si="1"/>
        <v>0</v>
      </c>
      <c r="T41" s="30">
        <f t="shared" si="2"/>
        <v>0</v>
      </c>
      <c r="Y41" s="30"/>
    </row>
    <row r="42" spans="1:25" s="42" customFormat="1" x14ac:dyDescent="0.25">
      <c r="A42" s="44" t="s">
        <v>76</v>
      </c>
      <c r="B42" s="45"/>
      <c r="C42" s="3" t="s">
        <v>77</v>
      </c>
      <c r="D42" s="46">
        <v>-14691133.66</v>
      </c>
      <c r="E42" s="30"/>
      <c r="F42" s="8"/>
      <c r="G42" s="30"/>
      <c r="I42" s="42" t="s">
        <v>77</v>
      </c>
      <c r="J42" s="17">
        <f>D42</f>
        <v>-14691133.66</v>
      </c>
      <c r="M42" s="30">
        <f>F42</f>
        <v>0</v>
      </c>
      <c r="N42" s="8">
        <f t="shared" si="3"/>
        <v>-14691133.66</v>
      </c>
      <c r="O42" s="30">
        <f>-N42</f>
        <v>14691133.66</v>
      </c>
      <c r="P42" s="7">
        <f t="shared" si="4"/>
        <v>14691133.66</v>
      </c>
      <c r="Q42" s="3"/>
      <c r="S42" s="7">
        <f t="shared" si="1"/>
        <v>14691133.66</v>
      </c>
      <c r="T42" s="30">
        <f>-N42</f>
        <v>14691133.66</v>
      </c>
      <c r="Y42" s="30"/>
    </row>
    <row r="43" spans="1:25" s="42" customFormat="1" x14ac:dyDescent="0.25">
      <c r="A43" s="44" t="s">
        <v>76</v>
      </c>
      <c r="B43" s="45"/>
      <c r="C43" s="3" t="s">
        <v>78</v>
      </c>
      <c r="D43" s="46"/>
      <c r="E43" s="30"/>
      <c r="F43" s="8"/>
      <c r="G43" s="30"/>
      <c r="J43" s="17"/>
      <c r="M43" s="30"/>
      <c r="N43" s="8"/>
      <c r="O43" s="30"/>
      <c r="P43" s="7"/>
      <c r="Q43" s="3"/>
      <c r="S43" s="7"/>
      <c r="T43" s="30"/>
      <c r="Y43" s="30"/>
    </row>
    <row r="44" spans="1:25" s="38" customFormat="1" x14ac:dyDescent="0.25">
      <c r="A44" s="47" t="s">
        <v>79</v>
      </c>
      <c r="B44" s="45"/>
      <c r="C44" s="40" t="s">
        <v>80</v>
      </c>
      <c r="D44" s="46">
        <v>-510000</v>
      </c>
      <c r="E44" s="8"/>
      <c r="G44" s="48"/>
      <c r="I44" s="38" t="str">
        <f>+C44</f>
        <v>Recargos, multas y otros ingresos</v>
      </c>
      <c r="J44" s="7">
        <f>G2</f>
        <v>0</v>
      </c>
      <c r="M44" s="30"/>
      <c r="N44" s="8">
        <f t="shared" si="3"/>
        <v>0</v>
      </c>
      <c r="O44" s="30">
        <f>-N44</f>
        <v>0</v>
      </c>
      <c r="P44" s="7">
        <f t="shared" si="4"/>
        <v>0</v>
      </c>
      <c r="Q44" s="3"/>
      <c r="S44" s="7">
        <f t="shared" si="1"/>
        <v>0</v>
      </c>
      <c r="T44" s="30">
        <f t="shared" ref="T44:T55" si="7">-N44</f>
        <v>0</v>
      </c>
      <c r="Y44" s="8">
        <f t="shared" si="6"/>
        <v>0</v>
      </c>
    </row>
    <row r="45" spans="1:25" s="40" customFormat="1" x14ac:dyDescent="0.25">
      <c r="A45" s="39"/>
      <c r="B45" s="2"/>
      <c r="D45" s="16"/>
      <c r="E45" s="30"/>
      <c r="F45" s="8"/>
      <c r="J45" s="17"/>
      <c r="M45" s="30">
        <f>F45</f>
        <v>0</v>
      </c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x14ac:dyDescent="0.25">
      <c r="A46" s="39" t="s">
        <v>33</v>
      </c>
      <c r="B46" s="2"/>
      <c r="C46" s="27" t="s">
        <v>81</v>
      </c>
      <c r="D46" s="41"/>
      <c r="E46" s="30"/>
      <c r="F46" s="8"/>
      <c r="J46" s="17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ht="15.75" x14ac:dyDescent="0.25">
      <c r="A47" s="39"/>
      <c r="B47" s="2"/>
      <c r="C47" s="49" t="s">
        <v>82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s="40" customFormat="1" x14ac:dyDescent="0.25">
      <c r="A48" s="39"/>
      <c r="B48" s="2"/>
      <c r="C48" s="50" t="s">
        <v>83</v>
      </c>
      <c r="D48" s="43"/>
      <c r="E48" s="30"/>
      <c r="F48" s="8"/>
      <c r="M48" s="17"/>
      <c r="N48" s="8">
        <f t="shared" si="3"/>
        <v>0</v>
      </c>
      <c r="O48" s="17"/>
      <c r="P48" s="7">
        <f t="shared" si="4"/>
        <v>0</v>
      </c>
      <c r="Q48" s="3"/>
      <c r="S48" s="7">
        <f t="shared" si="1"/>
        <v>0</v>
      </c>
      <c r="T48" s="30">
        <f t="shared" si="7"/>
        <v>0</v>
      </c>
      <c r="Y48" s="17">
        <f t="shared" si="6"/>
        <v>0</v>
      </c>
    </row>
    <row r="49" spans="1:25" x14ac:dyDescent="0.25">
      <c r="A49" s="1" t="s">
        <v>84</v>
      </c>
      <c r="B49" s="2" t="s">
        <v>85</v>
      </c>
      <c r="C49" s="51" t="s">
        <v>86</v>
      </c>
      <c r="D49" s="16">
        <f>+'[4]Plantilla Ejecución  '!$B$12</f>
        <v>11372240.82</v>
      </c>
      <c r="E49" s="8"/>
      <c r="F49" s="8"/>
      <c r="H49" s="3" t="s">
        <v>50</v>
      </c>
      <c r="I49" s="3" t="str">
        <f t="shared" ref="I49:I54" si="8">+C49</f>
        <v>Sueldos fijos</v>
      </c>
      <c r="J49" s="7">
        <f>D49</f>
        <v>11372240.82</v>
      </c>
      <c r="M49" s="7">
        <f>F49</f>
        <v>0</v>
      </c>
      <c r="N49" s="8">
        <f t="shared" si="3"/>
        <v>11372240.82</v>
      </c>
      <c r="O49" s="7">
        <f t="shared" ref="O49:O115" si="9">-N49</f>
        <v>-11372240.82</v>
      </c>
      <c r="P49" s="7">
        <f t="shared" si="4"/>
        <v>-11372240.82</v>
      </c>
      <c r="S49" s="7">
        <f t="shared" si="1"/>
        <v>-11372240.82</v>
      </c>
      <c r="T49" s="30">
        <f t="shared" si="7"/>
        <v>-11372240.82</v>
      </c>
      <c r="U49" s="7">
        <f>N49</f>
        <v>11372240.82</v>
      </c>
      <c r="V49" s="7"/>
      <c r="Y49" s="7">
        <f t="shared" si="6"/>
        <v>11372240.82</v>
      </c>
    </row>
    <row r="50" spans="1:25" x14ac:dyDescent="0.25">
      <c r="A50" s="1" t="s">
        <v>84</v>
      </c>
      <c r="B50" s="2" t="s">
        <v>87</v>
      </c>
      <c r="C50" s="51" t="s">
        <v>458</v>
      </c>
      <c r="D50" s="16"/>
      <c r="E50" s="8"/>
      <c r="F50" s="8"/>
      <c r="H50" s="3" t="s">
        <v>50</v>
      </c>
      <c r="I50" s="3" t="str">
        <f t="shared" si="8"/>
        <v>Empleados temporales</v>
      </c>
      <c r="J50" s="7">
        <f>+D50</f>
        <v>0</v>
      </c>
      <c r="M50" s="7">
        <f t="shared" ref="M50:M116" si="10">F50</f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ref="U50:U66" si="11">+O50</f>
        <v>0</v>
      </c>
      <c r="V50" s="7"/>
      <c r="Y50" s="7">
        <f t="shared" si="6"/>
        <v>0</v>
      </c>
    </row>
    <row r="51" spans="1:25" x14ac:dyDescent="0.25">
      <c r="A51" s="1" t="s">
        <v>84</v>
      </c>
      <c r="B51" s="2" t="s">
        <v>53</v>
      </c>
      <c r="C51" s="51" t="s">
        <v>459</v>
      </c>
      <c r="D51" s="16"/>
      <c r="E51" s="8"/>
      <c r="F51" s="8"/>
      <c r="H51" s="3" t="s">
        <v>50</v>
      </c>
      <c r="I51" s="3" t="str">
        <f t="shared" si="8"/>
        <v>Interinato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84</v>
      </c>
      <c r="B52" s="2" t="s">
        <v>57</v>
      </c>
      <c r="C52" s="51" t="s">
        <v>88</v>
      </c>
      <c r="D52" s="16">
        <v>0</v>
      </c>
      <c r="E52" s="8"/>
      <c r="F52" s="8"/>
      <c r="H52" s="3" t="s">
        <v>50</v>
      </c>
      <c r="I52" s="3" t="str">
        <f t="shared" si="8"/>
        <v>Sueldo anual no. 13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84</v>
      </c>
      <c r="B53" s="52" t="s">
        <v>89</v>
      </c>
      <c r="C53" s="3" t="s">
        <v>90</v>
      </c>
      <c r="D53" s="16">
        <v>0</v>
      </c>
      <c r="E53" s="8"/>
      <c r="F53" s="8"/>
      <c r="I53" s="3" t="str">
        <f t="shared" si="8"/>
        <v>Prestaciones económicas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x14ac:dyDescent="0.25">
      <c r="A54" s="1" t="s">
        <v>84</v>
      </c>
      <c r="B54" s="2" t="s">
        <v>91</v>
      </c>
      <c r="C54" s="51" t="s">
        <v>92</v>
      </c>
      <c r="D54" s="16">
        <v>0</v>
      </c>
      <c r="E54" s="8"/>
      <c r="F54" s="8"/>
      <c r="H54" s="3" t="s">
        <v>50</v>
      </c>
      <c r="I54" s="3" t="str">
        <f t="shared" si="8"/>
        <v>Proporción de vacaciones no disfrutadas</v>
      </c>
      <c r="J54" s="7">
        <f>+D54</f>
        <v>0</v>
      </c>
      <c r="M54" s="7">
        <f t="shared" si="10"/>
        <v>0</v>
      </c>
      <c r="N54" s="8">
        <f t="shared" si="3"/>
        <v>0</v>
      </c>
      <c r="O54" s="7">
        <f t="shared" si="9"/>
        <v>0</v>
      </c>
      <c r="P54" s="7">
        <f t="shared" si="4"/>
        <v>0</v>
      </c>
      <c r="S54" s="7">
        <f t="shared" si="1"/>
        <v>0</v>
      </c>
      <c r="T54" s="30">
        <f t="shared" si="7"/>
        <v>0</v>
      </c>
      <c r="U54" s="7">
        <f t="shared" si="11"/>
        <v>0</v>
      </c>
      <c r="V54" s="7"/>
      <c r="Y54" s="7">
        <f t="shared" si="6"/>
        <v>0</v>
      </c>
    </row>
    <row r="55" spans="1:25" s="40" customFormat="1" x14ac:dyDescent="0.25">
      <c r="A55" s="39"/>
      <c r="B55" s="2"/>
      <c r="C55" s="50" t="s">
        <v>93</v>
      </c>
      <c r="D55" s="41"/>
      <c r="E55" s="30"/>
      <c r="F55" s="8"/>
      <c r="J55" s="17"/>
      <c r="M55" s="7">
        <f t="shared" si="10"/>
        <v>0</v>
      </c>
      <c r="N55" s="8">
        <f t="shared" si="3"/>
        <v>0</v>
      </c>
      <c r="O55" s="17">
        <f t="shared" si="9"/>
        <v>0</v>
      </c>
      <c r="P55" s="7">
        <f t="shared" si="4"/>
        <v>0</v>
      </c>
      <c r="Q55" s="3"/>
      <c r="S55" s="7">
        <f t="shared" si="1"/>
        <v>0</v>
      </c>
      <c r="T55" s="30">
        <f t="shared" si="7"/>
        <v>0</v>
      </c>
      <c r="Y55" s="17">
        <f t="shared" si="6"/>
        <v>0</v>
      </c>
    </row>
    <row r="56" spans="1:25" x14ac:dyDescent="0.25">
      <c r="A56" s="1" t="s">
        <v>84</v>
      </c>
      <c r="B56" s="2" t="s">
        <v>94</v>
      </c>
      <c r="C56" s="51" t="s">
        <v>95</v>
      </c>
      <c r="D56" s="16">
        <v>0</v>
      </c>
      <c r="E56" s="8"/>
      <c r="F56" s="8"/>
      <c r="H56" s="3" t="s">
        <v>50</v>
      </c>
      <c r="I56" s="3" t="str">
        <f t="shared" ref="I56:J59" si="12">+C56</f>
        <v>Compensación por horas extraordinarias</v>
      </c>
      <c r="J56" s="7">
        <f t="shared" si="12"/>
        <v>0</v>
      </c>
      <c r="M56" s="7">
        <f t="shared" si="10"/>
        <v>0</v>
      </c>
      <c r="N56" s="8">
        <f t="shared" si="3"/>
        <v>0</v>
      </c>
      <c r="O56" s="7">
        <f t="shared" si="9"/>
        <v>0</v>
      </c>
      <c r="P56" s="7">
        <f t="shared" si="4"/>
        <v>0</v>
      </c>
      <c r="S56" s="7">
        <f>SUM(N56:R56)</f>
        <v>0</v>
      </c>
      <c r="U56" s="7">
        <f t="shared" si="11"/>
        <v>0</v>
      </c>
      <c r="V56" s="7"/>
      <c r="Y56" s="7">
        <f t="shared" si="6"/>
        <v>0</v>
      </c>
    </row>
    <row r="57" spans="1:25" x14ac:dyDescent="0.25">
      <c r="A57" s="1" t="s">
        <v>84</v>
      </c>
      <c r="C57" s="51" t="s">
        <v>460</v>
      </c>
      <c r="D57" s="16"/>
      <c r="E57" s="8"/>
      <c r="F57" s="8"/>
      <c r="J57" s="7"/>
      <c r="M57" s="7"/>
      <c r="N57" s="8"/>
      <c r="O57" s="7"/>
      <c r="P57" s="7"/>
      <c r="S57" s="7"/>
      <c r="U57" s="7"/>
      <c r="V57" s="7"/>
      <c r="Y57" s="7"/>
    </row>
    <row r="58" spans="1:25" x14ac:dyDescent="0.25">
      <c r="A58" s="1" t="s">
        <v>84</v>
      </c>
      <c r="B58" s="2" t="s">
        <v>61</v>
      </c>
      <c r="C58" s="51" t="s">
        <v>96</v>
      </c>
      <c r="D58" s="16"/>
      <c r="E58" s="8"/>
      <c r="F58" s="8"/>
      <c r="H58" s="3" t="s">
        <v>50</v>
      </c>
      <c r="I58" s="3" t="str">
        <f t="shared" si="12"/>
        <v>Compensación por servicio de seguridad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x14ac:dyDescent="0.25">
      <c r="A59" s="1" t="s">
        <v>84</v>
      </c>
      <c r="B59" s="2" t="s">
        <v>97</v>
      </c>
      <c r="C59" s="51" t="s">
        <v>98</v>
      </c>
      <c r="D59" s="16">
        <v>0</v>
      </c>
      <c r="E59" s="8"/>
      <c r="F59" s="8"/>
      <c r="H59" s="3" t="s">
        <v>50</v>
      </c>
      <c r="I59" s="3" t="str">
        <f t="shared" si="12"/>
        <v>Bono por desempeño</v>
      </c>
      <c r="J59" s="7">
        <f t="shared" si="12"/>
        <v>0</v>
      </c>
      <c r="M59" s="7">
        <f t="shared" si="10"/>
        <v>0</v>
      </c>
      <c r="N59" s="8">
        <f t="shared" si="3"/>
        <v>0</v>
      </c>
      <c r="O59" s="7">
        <f t="shared" si="9"/>
        <v>0</v>
      </c>
      <c r="P59" s="7">
        <f t="shared" si="4"/>
        <v>0</v>
      </c>
      <c r="S59" s="7">
        <f t="shared" si="1"/>
        <v>0</v>
      </c>
      <c r="U59" s="7">
        <f t="shared" si="11"/>
        <v>0</v>
      </c>
      <c r="V59" s="7"/>
      <c r="Y59" s="7">
        <f t="shared" si="6"/>
        <v>0</v>
      </c>
    </row>
    <row r="60" spans="1:25" s="40" customFormat="1" x14ac:dyDescent="0.25">
      <c r="A60" s="39"/>
      <c r="B60" s="2"/>
      <c r="C60" s="50" t="s">
        <v>99</v>
      </c>
      <c r="D60" s="41"/>
      <c r="E60" s="30"/>
      <c r="F60" s="8"/>
      <c r="J60" s="17"/>
      <c r="M60" s="7">
        <f t="shared" si="10"/>
        <v>0</v>
      </c>
      <c r="N60" s="8">
        <f t="shared" si="3"/>
        <v>0</v>
      </c>
      <c r="O60" s="17">
        <f t="shared" si="9"/>
        <v>0</v>
      </c>
      <c r="P60" s="7">
        <f t="shared" si="4"/>
        <v>0</v>
      </c>
      <c r="Q60" s="3"/>
      <c r="S60" s="7">
        <f t="shared" si="1"/>
        <v>0</v>
      </c>
      <c r="Y60" s="17">
        <f t="shared" si="6"/>
        <v>0</v>
      </c>
    </row>
    <row r="61" spans="1:25" x14ac:dyDescent="0.25">
      <c r="A61" s="1" t="s">
        <v>84</v>
      </c>
      <c r="B61" s="2" t="s">
        <v>100</v>
      </c>
      <c r="C61" s="51" t="s">
        <v>101</v>
      </c>
      <c r="D61" s="16">
        <v>0</v>
      </c>
      <c r="E61" s="8"/>
      <c r="F61" s="8"/>
      <c r="H61" s="3" t="s">
        <v>50</v>
      </c>
      <c r="I61" s="3" t="str">
        <f>+C61</f>
        <v>Gratificaciones por aniversario de institución</v>
      </c>
      <c r="J61" s="7">
        <f>+D61</f>
        <v>0</v>
      </c>
      <c r="M61" s="7">
        <f t="shared" si="10"/>
        <v>0</v>
      </c>
      <c r="N61" s="8">
        <f t="shared" si="3"/>
        <v>0</v>
      </c>
      <c r="O61" s="7">
        <f t="shared" si="9"/>
        <v>0</v>
      </c>
      <c r="P61" s="7">
        <f t="shared" si="4"/>
        <v>0</v>
      </c>
      <c r="S61" s="7">
        <f t="shared" si="1"/>
        <v>0</v>
      </c>
      <c r="U61" s="7">
        <f t="shared" si="11"/>
        <v>0</v>
      </c>
      <c r="V61" s="7"/>
      <c r="Y61" s="7">
        <f t="shared" si="6"/>
        <v>0</v>
      </c>
    </row>
    <row r="62" spans="1:25" s="40" customFormat="1" x14ac:dyDescent="0.25">
      <c r="A62" s="39"/>
      <c r="B62" s="2"/>
      <c r="C62" s="50" t="s">
        <v>102</v>
      </c>
      <c r="D62" s="41"/>
      <c r="E62" s="30"/>
      <c r="F62" s="8"/>
      <c r="J62" s="17"/>
      <c r="M62" s="7">
        <f t="shared" si="10"/>
        <v>0</v>
      </c>
      <c r="N62" s="8">
        <f t="shared" si="3"/>
        <v>0</v>
      </c>
      <c r="O62" s="17">
        <f t="shared" si="9"/>
        <v>0</v>
      </c>
      <c r="P62" s="7">
        <f t="shared" si="4"/>
        <v>0</v>
      </c>
      <c r="Q62" s="3"/>
      <c r="S62" s="7">
        <f t="shared" si="1"/>
        <v>0</v>
      </c>
      <c r="U62" s="7">
        <f t="shared" si="11"/>
        <v>0</v>
      </c>
      <c r="Y62" s="17">
        <f t="shared" si="6"/>
        <v>0</v>
      </c>
    </row>
    <row r="63" spans="1:25" x14ac:dyDescent="0.25">
      <c r="A63" s="1" t="s">
        <v>84</v>
      </c>
      <c r="B63" s="2" t="s">
        <v>63</v>
      </c>
      <c r="C63" s="51" t="s">
        <v>103</v>
      </c>
      <c r="D63" s="53"/>
      <c r="E63" s="8"/>
      <c r="F63" s="8"/>
      <c r="H63" s="3" t="s">
        <v>50</v>
      </c>
      <c r="I63" s="3" t="str">
        <f t="shared" ref="I63:J65" si="13">+C63</f>
        <v>Contribuciones al seguro de salud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/>
      <c r="V63" s="7">
        <f>N63</f>
        <v>0</v>
      </c>
      <c r="Y63" s="7">
        <f t="shared" si="6"/>
        <v>0</v>
      </c>
    </row>
    <row r="64" spans="1:25" x14ac:dyDescent="0.25">
      <c r="A64" s="1" t="s">
        <v>84</v>
      </c>
      <c r="C64" s="51" t="s">
        <v>104</v>
      </c>
      <c r="D64" s="16"/>
      <c r="E64" s="8"/>
      <c r="F64" s="8"/>
      <c r="H64" s="3" t="s">
        <v>50</v>
      </c>
      <c r="I64" s="3" t="str">
        <f t="shared" si="13"/>
        <v xml:space="preserve">Contribuciones al seguro de pensiones 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 t="shared" si="1"/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x14ac:dyDescent="0.25">
      <c r="A65" s="1" t="s">
        <v>84</v>
      </c>
      <c r="C65" s="51" t="s">
        <v>105</v>
      </c>
      <c r="D65" s="16"/>
      <c r="E65" s="8"/>
      <c r="F65" s="8"/>
      <c r="H65" s="3" t="s">
        <v>50</v>
      </c>
      <c r="I65" s="3" t="str">
        <f t="shared" si="13"/>
        <v>Contribuciones al seguro de riesgo laboral</v>
      </c>
      <c r="J65" s="7">
        <f t="shared" si="13"/>
        <v>0</v>
      </c>
      <c r="M65" s="7">
        <f t="shared" si="10"/>
        <v>0</v>
      </c>
      <c r="N65" s="8">
        <f t="shared" si="3"/>
        <v>0</v>
      </c>
      <c r="O65" s="7">
        <f t="shared" si="9"/>
        <v>0</v>
      </c>
      <c r="P65" s="7">
        <f t="shared" si="4"/>
        <v>0</v>
      </c>
      <c r="S65" s="7">
        <f>SUM(N65:R65)</f>
        <v>0</v>
      </c>
      <c r="U65" s="7">
        <f t="shared" si="11"/>
        <v>0</v>
      </c>
      <c r="V65" s="7">
        <f>+O65</f>
        <v>0</v>
      </c>
      <c r="Y65" s="7">
        <f t="shared" si="6"/>
        <v>0</v>
      </c>
    </row>
    <row r="66" spans="1:25" s="40" customFormat="1" ht="15.75" x14ac:dyDescent="0.25">
      <c r="A66" s="39"/>
      <c r="B66" s="2"/>
      <c r="C66" s="49" t="s">
        <v>106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U66" s="7">
        <f t="shared" si="11"/>
        <v>0</v>
      </c>
      <c r="Y66" s="17">
        <f t="shared" ref="Y66:Y131" si="14">SUM(T66:X66)-O66</f>
        <v>0</v>
      </c>
    </row>
    <row r="67" spans="1:25" s="40" customFormat="1" x14ac:dyDescent="0.25">
      <c r="A67" s="39"/>
      <c r="B67" s="2"/>
      <c r="C67" s="50" t="s">
        <v>107</v>
      </c>
      <c r="D67" s="41"/>
      <c r="E67" s="30"/>
      <c r="F67" s="8"/>
      <c r="J67" s="17"/>
      <c r="M67" s="7">
        <f t="shared" si="10"/>
        <v>0</v>
      </c>
      <c r="N67" s="8">
        <f t="shared" si="3"/>
        <v>0</v>
      </c>
      <c r="O67" s="17">
        <f t="shared" si="9"/>
        <v>0</v>
      </c>
      <c r="P67" s="7">
        <f t="shared" si="4"/>
        <v>0</v>
      </c>
      <c r="Q67" s="3"/>
      <c r="S67" s="7">
        <f t="shared" si="1"/>
        <v>0</v>
      </c>
      <c r="Y67" s="17">
        <f t="shared" si="14"/>
        <v>0</v>
      </c>
    </row>
    <row r="68" spans="1:25" x14ac:dyDescent="0.25">
      <c r="A68" s="1" t="s">
        <v>108</v>
      </c>
      <c r="C68" s="51" t="s">
        <v>109</v>
      </c>
      <c r="D68" s="16">
        <f>+'[4]Plantilla Ejecución  '!$B$18</f>
        <v>4840129.18</v>
      </c>
      <c r="E68" s="8"/>
      <c r="F68" s="8"/>
      <c r="H68" s="3" t="s">
        <v>50</v>
      </c>
      <c r="I68" s="3" t="str">
        <f t="shared" ref="I68:J74" si="15">+C68</f>
        <v>Servicios telefónico de larga distancia</v>
      </c>
      <c r="J68" s="7">
        <f t="shared" si="15"/>
        <v>4840129.18</v>
      </c>
      <c r="M68" s="7">
        <f t="shared" si="10"/>
        <v>0</v>
      </c>
      <c r="N68" s="8">
        <f t="shared" si="3"/>
        <v>4840129.18</v>
      </c>
      <c r="O68" s="7">
        <f t="shared" si="9"/>
        <v>-4840129.18</v>
      </c>
      <c r="P68" s="7">
        <f t="shared" si="4"/>
        <v>-4840129.18</v>
      </c>
      <c r="S68" s="7">
        <f t="shared" si="1"/>
        <v>-4840129.18</v>
      </c>
      <c r="W68" s="7">
        <f>+O68</f>
        <v>-4840129.18</v>
      </c>
      <c r="Y68" s="7">
        <f t="shared" si="14"/>
        <v>0</v>
      </c>
    </row>
    <row r="69" spans="1:25" x14ac:dyDescent="0.25">
      <c r="A69" s="1" t="s">
        <v>108</v>
      </c>
      <c r="C69" s="51" t="s">
        <v>110</v>
      </c>
      <c r="D69" s="16"/>
      <c r="E69" s="8"/>
      <c r="F69" s="8"/>
      <c r="H69" s="3" t="s">
        <v>50</v>
      </c>
      <c r="I69" s="3" t="str">
        <f t="shared" si="15"/>
        <v>Teléfono local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108</v>
      </c>
      <c r="C70" s="51" t="s">
        <v>111</v>
      </c>
      <c r="D70" s="16"/>
      <c r="E70" s="8"/>
      <c r="F70" s="8"/>
      <c r="H70" s="3" t="s">
        <v>50</v>
      </c>
      <c r="I70" s="3" t="str">
        <f t="shared" si="15"/>
        <v>Telefax y correo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108</v>
      </c>
      <c r="C71" s="51" t="s">
        <v>112</v>
      </c>
      <c r="D71" s="16"/>
      <c r="E71" s="8"/>
      <c r="F71" s="8"/>
      <c r="H71" s="3" t="s">
        <v>50</v>
      </c>
      <c r="I71" s="3" t="str">
        <f t="shared" si="15"/>
        <v>Servicio de internet y televisión por cable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108</v>
      </c>
      <c r="C72" s="51" t="s">
        <v>113</v>
      </c>
      <c r="D72" s="16"/>
      <c r="E72" s="8"/>
      <c r="F72" s="8"/>
      <c r="H72" s="3" t="s">
        <v>50</v>
      </c>
      <c r="I72" s="3" t="str">
        <f t="shared" si="15"/>
        <v>Energía eléctrica</v>
      </c>
      <c r="J72" s="7">
        <f t="shared" si="15"/>
        <v>0</v>
      </c>
      <c r="M72" s="7">
        <f t="shared" si="10"/>
        <v>0</v>
      </c>
      <c r="N72" s="8">
        <f t="shared" si="3"/>
        <v>0</v>
      </c>
      <c r="O72" s="7">
        <f t="shared" si="9"/>
        <v>0</v>
      </c>
      <c r="P72" s="7">
        <f t="shared" si="4"/>
        <v>0</v>
      </c>
      <c r="S72" s="7">
        <f t="shared" si="1"/>
        <v>0</v>
      </c>
      <c r="W72" s="7">
        <f>+O72</f>
        <v>0</v>
      </c>
      <c r="Y72" s="7">
        <f t="shared" si="14"/>
        <v>0</v>
      </c>
    </row>
    <row r="73" spans="1:25" x14ac:dyDescent="0.25">
      <c r="A73" s="1" t="s">
        <v>108</v>
      </c>
      <c r="C73" s="51" t="s">
        <v>463</v>
      </c>
      <c r="D73" s="16"/>
      <c r="E73" s="8"/>
      <c r="F73" s="8"/>
      <c r="I73" s="3" t="str">
        <f t="shared" si="15"/>
        <v>Agua potable</v>
      </c>
      <c r="J73" s="7"/>
      <c r="M73" s="7"/>
      <c r="N73" s="8"/>
      <c r="O73" s="7"/>
      <c r="P73" s="7"/>
      <c r="S73" s="7"/>
      <c r="W73" s="7"/>
      <c r="Y73" s="7"/>
    </row>
    <row r="74" spans="1:25" x14ac:dyDescent="0.25">
      <c r="A74" s="1" t="s">
        <v>108</v>
      </c>
      <c r="C74" s="51" t="s">
        <v>464</v>
      </c>
      <c r="D74" s="16"/>
      <c r="E74" s="8"/>
      <c r="F74" s="8"/>
      <c r="I74" s="3" t="str">
        <f t="shared" si="15"/>
        <v>Recolección de Residuos</v>
      </c>
      <c r="J74" s="7"/>
      <c r="M74" s="7"/>
      <c r="N74" s="8"/>
      <c r="O74" s="7"/>
      <c r="P74" s="7"/>
      <c r="S74" s="7"/>
      <c r="W74" s="7"/>
      <c r="Y74" s="7"/>
    </row>
    <row r="75" spans="1:25" s="40" customFormat="1" x14ac:dyDescent="0.25">
      <c r="A75" s="39"/>
      <c r="B75" s="2"/>
      <c r="C75" s="50" t="s">
        <v>114</v>
      </c>
      <c r="D75" s="41"/>
      <c r="E75" s="30"/>
      <c r="F75" s="8"/>
      <c r="J75" s="17"/>
      <c r="M75" s="7">
        <f t="shared" si="10"/>
        <v>0</v>
      </c>
      <c r="N75" s="8">
        <f t="shared" si="3"/>
        <v>0</v>
      </c>
      <c r="O75" s="17">
        <f t="shared" si="9"/>
        <v>0</v>
      </c>
      <c r="P75" s="7">
        <f t="shared" si="4"/>
        <v>0</v>
      </c>
      <c r="Q75" s="3"/>
      <c r="S75" s="7">
        <f>SUM(N75:R75)</f>
        <v>0</v>
      </c>
      <c r="Y75" s="17">
        <f t="shared" si="14"/>
        <v>0</v>
      </c>
    </row>
    <row r="76" spans="1:25" x14ac:dyDescent="0.25">
      <c r="A76" s="1" t="s">
        <v>108</v>
      </c>
      <c r="C76" s="51" t="s">
        <v>115</v>
      </c>
      <c r="D76" s="16"/>
      <c r="E76" s="8"/>
      <c r="F76" s="8"/>
      <c r="H76" s="3" t="s">
        <v>50</v>
      </c>
      <c r="I76" s="3" t="str">
        <f>+C76</f>
        <v>Publicidad y propaganda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x14ac:dyDescent="0.25">
      <c r="A77" s="1" t="s">
        <v>108</v>
      </c>
      <c r="C77" s="51" t="s">
        <v>116</v>
      </c>
      <c r="D77" s="16"/>
      <c r="E77" s="8"/>
      <c r="F77" s="8"/>
      <c r="H77" s="3" t="s">
        <v>50</v>
      </c>
      <c r="I77" s="3" t="str">
        <f>+C77</f>
        <v>Impresión y encuadernación</v>
      </c>
      <c r="J77" s="7">
        <f>+D77</f>
        <v>0</v>
      </c>
      <c r="M77" s="7">
        <f t="shared" si="10"/>
        <v>0</v>
      </c>
      <c r="N77" s="8">
        <f t="shared" si="3"/>
        <v>0</v>
      </c>
      <c r="O77" s="7">
        <f t="shared" si="9"/>
        <v>0</v>
      </c>
      <c r="P77" s="7">
        <f t="shared" si="4"/>
        <v>0</v>
      </c>
      <c r="S77" s="7">
        <f t="shared" si="1"/>
        <v>0</v>
      </c>
      <c r="W77" s="7">
        <f>+O77</f>
        <v>0</v>
      </c>
      <c r="Y77" s="7">
        <f t="shared" si="14"/>
        <v>0</v>
      </c>
    </row>
    <row r="78" spans="1:25" s="40" customFormat="1" x14ac:dyDescent="0.25">
      <c r="A78" s="39"/>
      <c r="B78" s="2"/>
      <c r="C78" s="50" t="s">
        <v>117</v>
      </c>
      <c r="D78" s="41"/>
      <c r="E78" s="30"/>
      <c r="F78" s="8"/>
      <c r="J78" s="17"/>
      <c r="M78" s="7">
        <f t="shared" si="10"/>
        <v>0</v>
      </c>
      <c r="N78" s="8">
        <f t="shared" si="3"/>
        <v>0</v>
      </c>
      <c r="O78" s="17">
        <f t="shared" si="9"/>
        <v>0</v>
      </c>
      <c r="P78" s="7">
        <f t="shared" si="4"/>
        <v>0</v>
      </c>
      <c r="Q78" s="3"/>
      <c r="S78" s="7">
        <f t="shared" si="1"/>
        <v>0</v>
      </c>
      <c r="Y78" s="17">
        <f t="shared" si="14"/>
        <v>0</v>
      </c>
    </row>
    <row r="79" spans="1:25" x14ac:dyDescent="0.25">
      <c r="A79" s="1" t="s">
        <v>108</v>
      </c>
      <c r="C79" s="51" t="s">
        <v>118</v>
      </c>
      <c r="D79" s="16"/>
      <c r="E79" s="8"/>
      <c r="F79" s="8"/>
      <c r="H79" s="3" t="s">
        <v>50</v>
      </c>
      <c r="I79" s="3" t="str">
        <f>+C79</f>
        <v>Viáticos dentro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x14ac:dyDescent="0.25">
      <c r="A80" s="1" t="s">
        <v>108</v>
      </c>
      <c r="C80" s="51" t="s">
        <v>119</v>
      </c>
      <c r="D80" s="16"/>
      <c r="E80" s="8"/>
      <c r="F80" s="8"/>
      <c r="H80" s="3" t="s">
        <v>50</v>
      </c>
      <c r="I80" s="3" t="str">
        <f>+C80</f>
        <v>Viáticos fuera del país</v>
      </c>
      <c r="J80" s="7">
        <f>+D80</f>
        <v>0</v>
      </c>
      <c r="M80" s="7">
        <f t="shared" si="10"/>
        <v>0</v>
      </c>
      <c r="N80" s="8">
        <f t="shared" si="3"/>
        <v>0</v>
      </c>
      <c r="O80" s="7">
        <f t="shared" si="9"/>
        <v>0</v>
      </c>
      <c r="P80" s="7">
        <f t="shared" si="4"/>
        <v>0</v>
      </c>
      <c r="S80" s="7">
        <f t="shared" si="1"/>
        <v>0</v>
      </c>
      <c r="W80" s="7">
        <f>+O80</f>
        <v>0</v>
      </c>
      <c r="Y80" s="7">
        <f t="shared" si="14"/>
        <v>0</v>
      </c>
    </row>
    <row r="81" spans="1:25" s="40" customFormat="1" x14ac:dyDescent="0.25">
      <c r="A81" s="39"/>
      <c r="B81" s="2"/>
      <c r="C81" s="50" t="s">
        <v>120</v>
      </c>
      <c r="D81" s="41"/>
      <c r="E81" s="30"/>
      <c r="F81" s="8"/>
      <c r="J81" s="17"/>
      <c r="M81" s="7">
        <f t="shared" si="10"/>
        <v>0</v>
      </c>
      <c r="N81" s="8">
        <f t="shared" si="3"/>
        <v>0</v>
      </c>
      <c r="O81" s="17">
        <f t="shared" si="9"/>
        <v>0</v>
      </c>
      <c r="P81" s="7">
        <f t="shared" si="4"/>
        <v>0</v>
      </c>
      <c r="Q81" s="3"/>
      <c r="S81" s="7">
        <f t="shared" si="1"/>
        <v>0</v>
      </c>
      <c r="Y81" s="17">
        <f t="shared" si="14"/>
        <v>0</v>
      </c>
    </row>
    <row r="82" spans="1:25" x14ac:dyDescent="0.25">
      <c r="A82" s="1" t="s">
        <v>108</v>
      </c>
      <c r="C82" s="3" t="s">
        <v>121</v>
      </c>
      <c r="D82" s="16"/>
      <c r="E82" s="8"/>
      <c r="F82" s="8"/>
      <c r="H82" s="3" t="s">
        <v>50</v>
      </c>
      <c r="I82" s="3" t="str">
        <f>+C82</f>
        <v>Pasajes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si="1"/>
        <v>0</v>
      </c>
      <c r="W82" s="7">
        <f>+O82</f>
        <v>0</v>
      </c>
      <c r="Y82" s="7">
        <f t="shared" si="14"/>
        <v>0</v>
      </c>
    </row>
    <row r="83" spans="1:25" x14ac:dyDescent="0.25">
      <c r="A83" s="1" t="s">
        <v>108</v>
      </c>
      <c r="C83" s="3" t="s">
        <v>122</v>
      </c>
      <c r="D83" s="16"/>
      <c r="E83" s="8"/>
      <c r="F83" s="8"/>
      <c r="H83" s="3" t="s">
        <v>50</v>
      </c>
      <c r="I83" s="3" t="str">
        <f>+C83</f>
        <v>Peajes</v>
      </c>
      <c r="J83" s="7">
        <f>+D83</f>
        <v>0</v>
      </c>
      <c r="M83" s="7">
        <f t="shared" si="10"/>
        <v>0</v>
      </c>
      <c r="N83" s="8">
        <f t="shared" si="3"/>
        <v>0</v>
      </c>
      <c r="O83" s="7">
        <f t="shared" si="9"/>
        <v>0</v>
      </c>
      <c r="P83" s="7">
        <f t="shared" si="4"/>
        <v>0</v>
      </c>
      <c r="S83" s="7">
        <f t="shared" ref="S83:S89" si="16">SUM(N83:R83)</f>
        <v>0</v>
      </c>
      <c r="W83" s="7">
        <f>+O83</f>
        <v>0</v>
      </c>
      <c r="Y83" s="7">
        <f t="shared" si="14"/>
        <v>0</v>
      </c>
    </row>
    <row r="84" spans="1:25" s="40" customFormat="1" x14ac:dyDescent="0.25">
      <c r="A84" s="39"/>
      <c r="B84" s="2"/>
      <c r="C84" s="50" t="s">
        <v>123</v>
      </c>
      <c r="D84" s="41"/>
      <c r="E84" s="30"/>
      <c r="F84" s="8"/>
      <c r="J84" s="17"/>
      <c r="M84" s="7">
        <f t="shared" si="10"/>
        <v>0</v>
      </c>
      <c r="N84" s="8">
        <f t="shared" si="3"/>
        <v>0</v>
      </c>
      <c r="O84" s="17">
        <f t="shared" si="9"/>
        <v>0</v>
      </c>
      <c r="P84" s="7">
        <f t="shared" si="4"/>
        <v>0</v>
      </c>
      <c r="Q84" s="3"/>
      <c r="S84" s="7">
        <f t="shared" si="16"/>
        <v>0</v>
      </c>
      <c r="Y84" s="17">
        <f t="shared" si="14"/>
        <v>0</v>
      </c>
    </row>
    <row r="85" spans="1:25" x14ac:dyDescent="0.25">
      <c r="A85" s="1" t="s">
        <v>108</v>
      </c>
      <c r="C85" s="51" t="s">
        <v>124</v>
      </c>
      <c r="D85" s="16"/>
      <c r="E85" s="8"/>
      <c r="F85" s="8"/>
      <c r="H85" s="3" t="s">
        <v>50</v>
      </c>
      <c r="I85" s="3" t="str">
        <f t="shared" ref="I85:J87" si="17">+C85</f>
        <v>Edificios y locales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108</v>
      </c>
      <c r="B86" s="54" t="s">
        <v>125</v>
      </c>
      <c r="C86" s="3" t="s">
        <v>126</v>
      </c>
      <c r="D86" s="16"/>
      <c r="E86" s="8"/>
      <c r="F86" s="8"/>
      <c r="H86" s="3" t="s">
        <v>50</v>
      </c>
      <c r="I86" s="3" t="str">
        <f t="shared" si="17"/>
        <v>Alquiler de vehículo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x14ac:dyDescent="0.25">
      <c r="A87" s="1" t="s">
        <v>108</v>
      </c>
      <c r="C87" s="51" t="s">
        <v>127</v>
      </c>
      <c r="D87" s="16"/>
      <c r="E87" s="8"/>
      <c r="F87" s="8"/>
      <c r="H87" s="3" t="s">
        <v>50</v>
      </c>
      <c r="I87" s="3" t="str">
        <f t="shared" si="17"/>
        <v>Otros alquileres</v>
      </c>
      <c r="J87" s="7">
        <f t="shared" si="17"/>
        <v>0</v>
      </c>
      <c r="M87" s="7">
        <f t="shared" si="10"/>
        <v>0</v>
      </c>
      <c r="N87" s="8">
        <f t="shared" si="3"/>
        <v>0</v>
      </c>
      <c r="O87" s="7">
        <f t="shared" si="9"/>
        <v>0</v>
      </c>
      <c r="P87" s="7">
        <f t="shared" si="4"/>
        <v>0</v>
      </c>
      <c r="S87" s="7">
        <f t="shared" si="16"/>
        <v>0</v>
      </c>
      <c r="W87" s="7">
        <f>+O87</f>
        <v>0</v>
      </c>
      <c r="Y87" s="7">
        <f t="shared" si="14"/>
        <v>0</v>
      </c>
    </row>
    <row r="88" spans="1:25" s="40" customFormat="1" x14ac:dyDescent="0.25">
      <c r="A88" s="39"/>
      <c r="B88" s="2"/>
      <c r="C88" s="50" t="s">
        <v>128</v>
      </c>
      <c r="D88" s="41"/>
      <c r="E88" s="30"/>
      <c r="F88" s="8"/>
      <c r="J88" s="17"/>
      <c r="M88" s="7">
        <f t="shared" si="10"/>
        <v>0</v>
      </c>
      <c r="N88" s="8">
        <f t="shared" si="3"/>
        <v>0</v>
      </c>
      <c r="O88" s="17">
        <f t="shared" si="9"/>
        <v>0</v>
      </c>
      <c r="P88" s="7">
        <f t="shared" si="4"/>
        <v>0</v>
      </c>
      <c r="Q88" s="3"/>
      <c r="S88" s="7">
        <f t="shared" si="16"/>
        <v>0</v>
      </c>
      <c r="Y88" s="17">
        <f t="shared" si="14"/>
        <v>0</v>
      </c>
    </row>
    <row r="89" spans="1:25" x14ac:dyDescent="0.25">
      <c r="A89" s="1" t="s">
        <v>108</v>
      </c>
      <c r="C89" s="51" t="s">
        <v>129</v>
      </c>
      <c r="D89" s="16"/>
      <c r="E89" s="8"/>
      <c r="F89" s="8"/>
      <c r="H89" s="3" t="s">
        <v>50</v>
      </c>
      <c r="I89" s="3" t="str">
        <f>+C89</f>
        <v>Seguro de bienes muebles</v>
      </c>
      <c r="J89" s="7">
        <f>+D89</f>
        <v>0</v>
      </c>
      <c r="M89" s="7">
        <f t="shared" si="10"/>
        <v>0</v>
      </c>
      <c r="N89" s="8">
        <f t="shared" ref="N89:N153" si="18">+J89+K89-L89-M89</f>
        <v>0</v>
      </c>
      <c r="O89" s="7">
        <f t="shared" si="9"/>
        <v>0</v>
      </c>
      <c r="P89" s="7">
        <f t="shared" si="4"/>
        <v>0</v>
      </c>
      <c r="S89" s="7">
        <f t="shared" si="16"/>
        <v>0</v>
      </c>
      <c r="W89" s="7">
        <f>+O89</f>
        <v>0</v>
      </c>
      <c r="Y89" s="7">
        <f t="shared" si="14"/>
        <v>0</v>
      </c>
    </row>
    <row r="90" spans="1:25" x14ac:dyDescent="0.25">
      <c r="A90" s="1" t="s">
        <v>108</v>
      </c>
      <c r="B90" s="54" t="s">
        <v>130</v>
      </c>
      <c r="C90" s="3" t="s">
        <v>131</v>
      </c>
      <c r="D90" s="16"/>
      <c r="E90" s="8"/>
      <c r="F90" s="8"/>
      <c r="H90" s="3" t="s">
        <v>50</v>
      </c>
      <c r="I90" s="3" t="str">
        <f>+C90</f>
        <v>Seguro de personas</v>
      </c>
      <c r="J90" s="7">
        <f>+D90</f>
        <v>0</v>
      </c>
      <c r="M90" s="7">
        <f t="shared" si="10"/>
        <v>0</v>
      </c>
      <c r="N90" s="8">
        <f t="shared" si="18"/>
        <v>0</v>
      </c>
      <c r="O90" s="7">
        <f t="shared" si="9"/>
        <v>0</v>
      </c>
      <c r="P90" s="7">
        <f t="shared" si="4"/>
        <v>0</v>
      </c>
      <c r="S90" s="7">
        <f t="shared" ref="S90:S133" si="19">SUM(N90:R90)</f>
        <v>0</v>
      </c>
      <c r="U90" s="7"/>
      <c r="V90" s="7"/>
      <c r="W90" s="7">
        <f>+O90</f>
        <v>0</v>
      </c>
      <c r="Y90" s="7">
        <f t="shared" si="14"/>
        <v>0</v>
      </c>
    </row>
    <row r="91" spans="1:25" s="40" customFormat="1" x14ac:dyDescent="0.25">
      <c r="A91" s="39"/>
      <c r="B91" s="2"/>
      <c r="C91" s="50" t="s">
        <v>132</v>
      </c>
      <c r="D91" s="41"/>
      <c r="E91" s="30"/>
      <c r="F91" s="8"/>
      <c r="J91" s="17"/>
      <c r="M91" s="7">
        <f t="shared" si="10"/>
        <v>0</v>
      </c>
      <c r="N91" s="8">
        <f t="shared" si="18"/>
        <v>0</v>
      </c>
      <c r="O91" s="17">
        <f t="shared" si="9"/>
        <v>0</v>
      </c>
      <c r="P91" s="7">
        <f t="shared" si="4"/>
        <v>0</v>
      </c>
      <c r="Q91" s="3"/>
      <c r="S91" s="17">
        <f t="shared" si="19"/>
        <v>0</v>
      </c>
      <c r="Y91" s="17">
        <f t="shared" si="14"/>
        <v>0</v>
      </c>
    </row>
    <row r="92" spans="1:25" x14ac:dyDescent="0.25">
      <c r="A92" s="1" t="s">
        <v>108</v>
      </c>
      <c r="C92" s="51" t="s">
        <v>133</v>
      </c>
      <c r="D92" s="16"/>
      <c r="E92" s="8"/>
      <c r="F92" s="8"/>
      <c r="H92" s="3" t="s">
        <v>50</v>
      </c>
      <c r="I92" s="3" t="str">
        <f t="shared" ref="I92:J97" si="20">+C92</f>
        <v>Servicios especiales de mantenimiento y reparación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N92</f>
        <v>0</v>
      </c>
      <c r="Y92" s="7">
        <f t="shared" si="14"/>
        <v>0</v>
      </c>
    </row>
    <row r="93" spans="1:25" x14ac:dyDescent="0.25">
      <c r="A93" s="1" t="s">
        <v>108</v>
      </c>
      <c r="B93" s="52" t="s">
        <v>134</v>
      </c>
      <c r="C93" s="3" t="s">
        <v>135</v>
      </c>
      <c r="D93" s="16"/>
      <c r="E93" s="8"/>
      <c r="F93" s="8"/>
      <c r="I93" s="3" t="str">
        <f t="shared" si="20"/>
        <v>Servicios de pintura y derivados con fin de higiene y embellecimiento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 t="shared" si="9"/>
        <v>0</v>
      </c>
      <c r="P93" s="7">
        <f t="shared" si="4"/>
        <v>0</v>
      </c>
      <c r="S93" s="7">
        <f t="shared" si="19"/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108</v>
      </c>
      <c r="B94" s="55"/>
      <c r="C94" s="3" t="s">
        <v>136</v>
      </c>
      <c r="D94" s="16"/>
      <c r="E94" s="8"/>
      <c r="F94" s="8"/>
      <c r="H94" s="3" t="s">
        <v>50</v>
      </c>
      <c r="I94" s="3" t="str">
        <f t="shared" si="20"/>
        <v>Reparaciones de obras menores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>-N94</f>
        <v>0</v>
      </c>
      <c r="P94" s="7">
        <f t="shared" si="4"/>
        <v>0</v>
      </c>
      <c r="S94" s="7">
        <f>SUM(N94:R94)</f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108</v>
      </c>
      <c r="C95" s="51" t="s">
        <v>137</v>
      </c>
      <c r="D95" s="16"/>
      <c r="E95" s="8"/>
      <c r="F95" s="8"/>
      <c r="H95" s="3" t="s">
        <v>50</v>
      </c>
      <c r="I95" s="3" t="str">
        <f t="shared" si="20"/>
        <v>Mant. y rep. De equipo de oficina y muebles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si="4"/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108</v>
      </c>
      <c r="B96" s="54" t="s">
        <v>138</v>
      </c>
      <c r="C96" s="3" t="s">
        <v>139</v>
      </c>
      <c r="D96" s="16"/>
      <c r="E96" s="8"/>
      <c r="F96" s="8"/>
      <c r="H96" s="3" t="s">
        <v>50</v>
      </c>
      <c r="I96" s="3" t="str">
        <f t="shared" si="20"/>
        <v>Mant. y rep. De equipo de comunicación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ref="P96:P121" si="21">-N96</f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x14ac:dyDescent="0.25">
      <c r="A97" s="1" t="s">
        <v>108</v>
      </c>
      <c r="C97" s="51" t="s">
        <v>140</v>
      </c>
      <c r="D97" s="16"/>
      <c r="E97" s="8"/>
      <c r="F97" s="8"/>
      <c r="H97" s="3" t="s">
        <v>50</v>
      </c>
      <c r="I97" s="3" t="str">
        <f t="shared" si="20"/>
        <v>Mant. y rep. De equipo de transporte, tracción y elevación</v>
      </c>
      <c r="J97" s="7">
        <f t="shared" si="20"/>
        <v>0</v>
      </c>
      <c r="M97" s="7">
        <f t="shared" si="10"/>
        <v>0</v>
      </c>
      <c r="N97" s="8">
        <f t="shared" si="18"/>
        <v>0</v>
      </c>
      <c r="O97" s="7">
        <f t="shared" si="9"/>
        <v>0</v>
      </c>
      <c r="P97" s="7">
        <f t="shared" si="21"/>
        <v>0</v>
      </c>
      <c r="S97" s="7">
        <f t="shared" si="19"/>
        <v>0</v>
      </c>
      <c r="W97" s="7">
        <f>+O97</f>
        <v>0</v>
      </c>
      <c r="Y97" s="7">
        <f t="shared" si="14"/>
        <v>0</v>
      </c>
    </row>
    <row r="98" spans="1:28" s="40" customFormat="1" x14ac:dyDescent="0.25">
      <c r="A98" s="39"/>
      <c r="B98" s="2"/>
      <c r="C98" s="50" t="s">
        <v>141</v>
      </c>
      <c r="D98" s="41"/>
      <c r="E98" s="30"/>
      <c r="F98" s="8"/>
      <c r="J98" s="17"/>
      <c r="M98" s="7">
        <f t="shared" si="10"/>
        <v>0</v>
      </c>
      <c r="N98" s="8">
        <f t="shared" si="18"/>
        <v>0</v>
      </c>
      <c r="O98" s="17">
        <f t="shared" si="9"/>
        <v>0</v>
      </c>
      <c r="P98" s="7">
        <f t="shared" si="21"/>
        <v>0</v>
      </c>
      <c r="Q98" s="3"/>
      <c r="S98" s="17">
        <f t="shared" si="19"/>
        <v>0</v>
      </c>
      <c r="Y98" s="17">
        <f t="shared" si="14"/>
        <v>0</v>
      </c>
    </row>
    <row r="99" spans="1:28" x14ac:dyDescent="0.25">
      <c r="A99" s="1" t="s">
        <v>108</v>
      </c>
      <c r="C99" s="51" t="s">
        <v>142</v>
      </c>
      <c r="D99" s="16"/>
      <c r="E99" s="8"/>
      <c r="F99" s="8"/>
      <c r="H99" s="3" t="s">
        <v>50</v>
      </c>
      <c r="I99" s="3" t="str">
        <f t="shared" ref="I99:J109" si="22">+C99</f>
        <v>Comisiones y gastos bancarios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ref="W99:W111" si="23">+O99</f>
        <v>0</v>
      </c>
      <c r="Y99" s="7">
        <f t="shared" si="14"/>
        <v>0</v>
      </c>
    </row>
    <row r="100" spans="1:28" x14ac:dyDescent="0.25">
      <c r="A100" s="1" t="s">
        <v>108</v>
      </c>
      <c r="B100" s="54" t="s">
        <v>143</v>
      </c>
      <c r="C100" s="3" t="s">
        <v>144</v>
      </c>
      <c r="D100" s="16"/>
      <c r="E100" s="8"/>
      <c r="F100" s="8"/>
      <c r="H100" s="3" t="s">
        <v>50</v>
      </c>
      <c r="I100" s="3" t="str">
        <f t="shared" si="22"/>
        <v xml:space="preserve">Servicios sanitarios médicos y veterinarios 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108</v>
      </c>
      <c r="C101" s="51" t="s">
        <v>145</v>
      </c>
      <c r="D101" s="16"/>
      <c r="E101" s="8"/>
      <c r="F101" s="8"/>
      <c r="I101" s="3" t="str">
        <f t="shared" si="22"/>
        <v>Fumigación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108</v>
      </c>
      <c r="B102" s="2" t="s">
        <v>146</v>
      </c>
      <c r="C102" s="51" t="s">
        <v>147</v>
      </c>
      <c r="D102" s="16"/>
      <c r="E102" s="8"/>
      <c r="F102" s="8"/>
      <c r="H102" s="3" t="s">
        <v>50</v>
      </c>
      <c r="I102" s="3" t="str">
        <f t="shared" si="22"/>
        <v>Lavandería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108</v>
      </c>
      <c r="B103" s="2" t="s">
        <v>146</v>
      </c>
      <c r="C103" s="51" t="s">
        <v>148</v>
      </c>
      <c r="D103" s="16"/>
      <c r="E103" s="8"/>
      <c r="F103" s="8"/>
      <c r="H103" s="3" t="s">
        <v>50</v>
      </c>
      <c r="I103" s="3" t="str">
        <f t="shared" si="22"/>
        <v>Limpieza e higiene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108</v>
      </c>
      <c r="C104" s="51" t="s">
        <v>149</v>
      </c>
      <c r="D104" s="16"/>
      <c r="E104" s="8"/>
      <c r="F104" s="8"/>
      <c r="H104" s="3" t="s">
        <v>50</v>
      </c>
      <c r="I104" s="3" t="str">
        <f t="shared" si="22"/>
        <v>Eventos generales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108</v>
      </c>
      <c r="C105" s="51" t="s">
        <v>150</v>
      </c>
      <c r="D105" s="16"/>
      <c r="E105" s="8"/>
      <c r="F105" s="8"/>
      <c r="H105" s="3" t="s">
        <v>50</v>
      </c>
      <c r="I105" s="3" t="str">
        <f t="shared" si="22"/>
        <v>Festividades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108</v>
      </c>
      <c r="C106" s="51" t="s">
        <v>151</v>
      </c>
      <c r="D106" s="16"/>
      <c r="E106" s="8"/>
      <c r="F106" s="8"/>
      <c r="H106" s="3" t="s">
        <v>50</v>
      </c>
      <c r="I106" s="3" t="str">
        <f t="shared" si="22"/>
        <v>Servicios jurídicos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108</v>
      </c>
      <c r="B107" s="54" t="s">
        <v>152</v>
      </c>
      <c r="C107" s="51" t="s">
        <v>153</v>
      </c>
      <c r="D107" s="16"/>
      <c r="E107" s="8"/>
      <c r="F107" s="8"/>
      <c r="H107" s="3" t="s">
        <v>50</v>
      </c>
      <c r="I107" s="3" t="str">
        <f t="shared" si="22"/>
        <v>Servicios de capacitación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108</v>
      </c>
      <c r="C108" s="51" t="s">
        <v>154</v>
      </c>
      <c r="D108" s="16"/>
      <c r="E108" s="8"/>
      <c r="F108" s="8"/>
      <c r="H108" s="3" t="s">
        <v>50</v>
      </c>
      <c r="I108" s="3" t="str">
        <f t="shared" si="22"/>
        <v>Otros servicios técnicos profesionales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x14ac:dyDescent="0.25">
      <c r="A109" s="1" t="s">
        <v>108</v>
      </c>
      <c r="C109" s="51" t="s">
        <v>155</v>
      </c>
      <c r="D109" s="16"/>
      <c r="E109" s="8"/>
      <c r="F109" s="8"/>
      <c r="I109" s="3" t="str">
        <f t="shared" si="22"/>
        <v>Impuestos </v>
      </c>
      <c r="J109" s="7">
        <f t="shared" si="22"/>
        <v>0</v>
      </c>
      <c r="M109" s="7">
        <f t="shared" si="10"/>
        <v>0</v>
      </c>
      <c r="N109" s="8">
        <f t="shared" si="18"/>
        <v>0</v>
      </c>
      <c r="O109" s="7">
        <f t="shared" si="9"/>
        <v>0</v>
      </c>
      <c r="P109" s="7">
        <f t="shared" si="21"/>
        <v>0</v>
      </c>
      <c r="S109" s="7">
        <f t="shared" si="19"/>
        <v>0</v>
      </c>
      <c r="W109" s="7">
        <f t="shared" si="23"/>
        <v>0</v>
      </c>
      <c r="Y109" s="7">
        <f t="shared" si="14"/>
        <v>0</v>
      </c>
    </row>
    <row r="110" spans="1:28" s="40" customFormat="1" x14ac:dyDescent="0.25">
      <c r="A110" s="39"/>
      <c r="B110" s="2"/>
      <c r="C110" s="50" t="s">
        <v>156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ref="AA110:AA160" si="24">+AB110=C110</f>
        <v>1</v>
      </c>
      <c r="AB110" s="56" t="s">
        <v>156</v>
      </c>
    </row>
    <row r="111" spans="1:28" s="40" customFormat="1" x14ac:dyDescent="0.25">
      <c r="A111" s="39"/>
      <c r="B111" s="2"/>
      <c r="C111" s="50" t="s">
        <v>157</v>
      </c>
      <c r="D111" s="41"/>
      <c r="E111" s="30"/>
      <c r="F111" s="8"/>
      <c r="J111" s="17"/>
      <c r="M111" s="7">
        <f t="shared" si="10"/>
        <v>0</v>
      </c>
      <c r="N111" s="8">
        <f t="shared" si="18"/>
        <v>0</v>
      </c>
      <c r="O111" s="17">
        <f t="shared" si="9"/>
        <v>0</v>
      </c>
      <c r="P111" s="7">
        <f t="shared" si="21"/>
        <v>0</v>
      </c>
      <c r="Q111" s="3"/>
      <c r="S111" s="17">
        <f t="shared" si="19"/>
        <v>0</v>
      </c>
      <c r="W111" s="7">
        <f t="shared" si="23"/>
        <v>0</v>
      </c>
      <c r="Y111" s="17">
        <f t="shared" si="14"/>
        <v>0</v>
      </c>
      <c r="AA111" s="22" t="b">
        <f t="shared" si="24"/>
        <v>1</v>
      </c>
      <c r="AB111" s="56" t="s">
        <v>157</v>
      </c>
    </row>
    <row r="112" spans="1:28" x14ac:dyDescent="0.25">
      <c r="A112" s="1" t="s">
        <v>84</v>
      </c>
      <c r="B112" s="40" t="s">
        <v>158</v>
      </c>
      <c r="C112" s="57" t="s">
        <v>159</v>
      </c>
      <c r="D112" s="16">
        <f>+'[4]Plantilla Ejecución  '!$B$28</f>
        <v>511233</v>
      </c>
      <c r="E112" s="8"/>
      <c r="F112" s="8"/>
      <c r="H112" s="3" t="s">
        <v>50</v>
      </c>
      <c r="I112" s="3" t="str">
        <f>+C112</f>
        <v>Alimentos y bebidas para personas</v>
      </c>
      <c r="J112" s="7">
        <f>+D112</f>
        <v>511233</v>
      </c>
      <c r="M112" s="7">
        <f t="shared" si="10"/>
        <v>0</v>
      </c>
      <c r="N112" s="8">
        <f t="shared" si="18"/>
        <v>511233</v>
      </c>
      <c r="O112" s="7">
        <f t="shared" si="9"/>
        <v>-511233</v>
      </c>
      <c r="P112" s="7">
        <f t="shared" si="21"/>
        <v>-511233</v>
      </c>
      <c r="S112" s="7">
        <f t="shared" si="19"/>
        <v>-511233</v>
      </c>
      <c r="U112" s="7"/>
      <c r="V112" s="7"/>
      <c r="W112" s="7">
        <f>N112</f>
        <v>511233</v>
      </c>
      <c r="Y112" s="7">
        <f t="shared" si="14"/>
        <v>1022466</v>
      </c>
      <c r="AA112" s="22" t="b">
        <f t="shared" si="24"/>
        <v>1</v>
      </c>
      <c r="AB112" s="57" t="s">
        <v>159</v>
      </c>
    </row>
    <row r="113" spans="1:28" x14ac:dyDescent="0.25">
      <c r="A113" s="1" t="s">
        <v>160</v>
      </c>
      <c r="B113" s="40" t="s">
        <v>161</v>
      </c>
      <c r="C113" s="57" t="s">
        <v>162</v>
      </c>
      <c r="D113" s="16"/>
      <c r="E113" s="8"/>
      <c r="F113" s="8"/>
      <c r="H113" s="3" t="s">
        <v>50</v>
      </c>
      <c r="I113" s="3" t="str">
        <f>+C113</f>
        <v>Productos forestales</v>
      </c>
      <c r="J113" s="7">
        <f>+D113</f>
        <v>0</v>
      </c>
      <c r="M113" s="7">
        <f t="shared" si="10"/>
        <v>0</v>
      </c>
      <c r="N113" s="8">
        <f t="shared" si="18"/>
        <v>0</v>
      </c>
      <c r="O113" s="7">
        <f t="shared" si="9"/>
        <v>0</v>
      </c>
      <c r="P113" s="7">
        <f t="shared" si="21"/>
        <v>0</v>
      </c>
      <c r="S113" s="7">
        <f t="shared" si="19"/>
        <v>0</v>
      </c>
      <c r="U113" s="7"/>
      <c r="V113" s="7"/>
      <c r="W113" s="7">
        <f t="shared" ref="W113:W174" si="25">N113</f>
        <v>0</v>
      </c>
      <c r="Y113" s="7">
        <f t="shared" si="14"/>
        <v>0</v>
      </c>
      <c r="AA113" s="22" t="b">
        <f t="shared" si="24"/>
        <v>1</v>
      </c>
      <c r="AB113" s="57" t="s">
        <v>162</v>
      </c>
    </row>
    <row r="114" spans="1:28" s="40" customFormat="1" x14ac:dyDescent="0.25">
      <c r="A114" s="39"/>
      <c r="C114" s="50" t="s">
        <v>163</v>
      </c>
      <c r="D114" s="41"/>
      <c r="E114" s="30"/>
      <c r="F114" s="8"/>
      <c r="J114" s="17"/>
      <c r="M114" s="7">
        <f t="shared" si="10"/>
        <v>0</v>
      </c>
      <c r="N114" s="8">
        <f t="shared" si="18"/>
        <v>0</v>
      </c>
      <c r="O114" s="17">
        <f t="shared" si="9"/>
        <v>0</v>
      </c>
      <c r="P114" s="7">
        <f t="shared" si="21"/>
        <v>0</v>
      </c>
      <c r="Q114" s="3"/>
      <c r="S114" s="17">
        <f t="shared" si="19"/>
        <v>0</v>
      </c>
      <c r="W114" s="7">
        <f t="shared" si="25"/>
        <v>0</v>
      </c>
      <c r="Y114" s="17">
        <f t="shared" si="14"/>
        <v>0</v>
      </c>
      <c r="AA114" s="22" t="b">
        <f t="shared" si="24"/>
        <v>1</v>
      </c>
      <c r="AB114" s="56" t="s">
        <v>163</v>
      </c>
    </row>
    <row r="115" spans="1:28" x14ac:dyDescent="0.25">
      <c r="A115" s="1" t="s">
        <v>160</v>
      </c>
      <c r="B115" s="40" t="s">
        <v>164</v>
      </c>
      <c r="C115" s="57" t="s">
        <v>165</v>
      </c>
      <c r="D115" s="58"/>
      <c r="E115" s="8"/>
      <c r="F115" s="8"/>
      <c r="H115" s="3" t="s">
        <v>50</v>
      </c>
      <c r="I115" s="3" t="str">
        <f t="shared" ref="I115:J117" si="26">+C115</f>
        <v>Hilados y telas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si="9"/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165</v>
      </c>
    </row>
    <row r="116" spans="1:28" x14ac:dyDescent="0.25">
      <c r="A116" s="1" t="s">
        <v>160</v>
      </c>
      <c r="B116" s="40" t="s">
        <v>166</v>
      </c>
      <c r="C116" s="57" t="s">
        <v>167</v>
      </c>
      <c r="D116" s="16"/>
      <c r="E116" s="8"/>
      <c r="F116" s="8"/>
      <c r="H116" s="3" t="s">
        <v>50</v>
      </c>
      <c r="I116" s="3" t="str">
        <f t="shared" si="26"/>
        <v>Acabados textiles</v>
      </c>
      <c r="J116" s="7">
        <f t="shared" si="26"/>
        <v>0</v>
      </c>
      <c r="M116" s="7">
        <f t="shared" si="10"/>
        <v>0</v>
      </c>
      <c r="N116" s="8">
        <f t="shared" si="18"/>
        <v>0</v>
      </c>
      <c r="O116" s="7">
        <f t="shared" ref="O116:O172" si="27">-N116</f>
        <v>0</v>
      </c>
      <c r="P116" s="7">
        <f t="shared" si="21"/>
        <v>0</v>
      </c>
      <c r="S116" s="7">
        <f t="shared" si="19"/>
        <v>0</v>
      </c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167</v>
      </c>
    </row>
    <row r="117" spans="1:28" x14ac:dyDescent="0.25">
      <c r="A117" s="1" t="s">
        <v>84</v>
      </c>
      <c r="B117" s="40" t="s">
        <v>168</v>
      </c>
      <c r="C117" s="57" t="s">
        <v>169</v>
      </c>
      <c r="D117" s="16"/>
      <c r="E117" s="8"/>
      <c r="F117" s="8"/>
      <c r="H117" s="3" t="s">
        <v>50</v>
      </c>
      <c r="I117" s="3" t="str">
        <f t="shared" si="26"/>
        <v>Prendas de vestir</v>
      </c>
      <c r="J117" s="7">
        <f t="shared" si="26"/>
        <v>0</v>
      </c>
      <c r="M117" s="7">
        <f t="shared" ref="M117:M170" si="28">F117</f>
        <v>0</v>
      </c>
      <c r="N117" s="8">
        <f t="shared" si="18"/>
        <v>0</v>
      </c>
      <c r="O117" s="7">
        <f t="shared" si="27"/>
        <v>0</v>
      </c>
      <c r="P117" s="7">
        <f t="shared" si="21"/>
        <v>0</v>
      </c>
      <c r="S117" s="7">
        <f t="shared" si="19"/>
        <v>0</v>
      </c>
      <c r="U117" s="7">
        <f>+O117</f>
        <v>0</v>
      </c>
      <c r="V117" s="7"/>
      <c r="W117" s="7">
        <f t="shared" si="25"/>
        <v>0</v>
      </c>
      <c r="Y117" s="7">
        <f t="shared" si="14"/>
        <v>0</v>
      </c>
      <c r="AA117" s="22" t="b">
        <f t="shared" si="24"/>
        <v>1</v>
      </c>
      <c r="AB117" s="57" t="s">
        <v>169</v>
      </c>
    </row>
    <row r="118" spans="1:28" s="40" customFormat="1" x14ac:dyDescent="0.25">
      <c r="A118" s="39"/>
      <c r="C118" s="50" t="s">
        <v>170</v>
      </c>
      <c r="D118" s="41"/>
      <c r="E118" s="30"/>
      <c r="F118" s="8"/>
      <c r="J118" s="17"/>
      <c r="M118" s="7">
        <f t="shared" si="28"/>
        <v>0</v>
      </c>
      <c r="N118" s="8">
        <f t="shared" si="18"/>
        <v>0</v>
      </c>
      <c r="O118" s="17">
        <f t="shared" si="27"/>
        <v>0</v>
      </c>
      <c r="P118" s="7">
        <f t="shared" si="21"/>
        <v>0</v>
      </c>
      <c r="Q118" s="3"/>
      <c r="S118" s="17">
        <f t="shared" si="19"/>
        <v>0</v>
      </c>
      <c r="W118" s="7">
        <f t="shared" si="25"/>
        <v>0</v>
      </c>
      <c r="Y118" s="17">
        <f t="shared" si="14"/>
        <v>0</v>
      </c>
      <c r="AA118" s="22" t="b">
        <f t="shared" si="24"/>
        <v>1</v>
      </c>
      <c r="AB118" s="56" t="s">
        <v>170</v>
      </c>
    </row>
    <row r="119" spans="1:28" x14ac:dyDescent="0.25">
      <c r="A119" s="1" t="s">
        <v>160</v>
      </c>
      <c r="B119" s="40" t="s">
        <v>171</v>
      </c>
      <c r="C119" s="57" t="s">
        <v>172</v>
      </c>
      <c r="D119" s="16"/>
      <c r="E119" s="8"/>
      <c r="F119" s="8"/>
      <c r="H119" s="3" t="s">
        <v>50</v>
      </c>
      <c r="I119" s="3" t="str">
        <f t="shared" ref="I119:J122" si="29">+C119</f>
        <v>Papel de escritorio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172</v>
      </c>
    </row>
    <row r="120" spans="1:28" x14ac:dyDescent="0.25">
      <c r="A120" s="1" t="s">
        <v>160</v>
      </c>
      <c r="B120" s="40" t="s">
        <v>173</v>
      </c>
      <c r="C120" s="57" t="s">
        <v>174</v>
      </c>
      <c r="D120" s="16"/>
      <c r="E120" s="8"/>
      <c r="F120" s="8"/>
      <c r="H120" s="3" t="s">
        <v>50</v>
      </c>
      <c r="I120" s="3" t="str">
        <f t="shared" si="29"/>
        <v>Productos de papel y cartón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174</v>
      </c>
    </row>
    <row r="121" spans="1:28" x14ac:dyDescent="0.25">
      <c r="A121" s="1" t="s">
        <v>160</v>
      </c>
      <c r="B121" s="40" t="s">
        <v>175</v>
      </c>
      <c r="C121" s="57" t="s">
        <v>176</v>
      </c>
      <c r="D121" s="16"/>
      <c r="E121" s="8"/>
      <c r="F121" s="8"/>
      <c r="H121" s="3" t="s">
        <v>50</v>
      </c>
      <c r="I121" s="3" t="str">
        <f t="shared" si="29"/>
        <v>Productos de artes gráficas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>
        <f t="shared" si="21"/>
        <v>0</v>
      </c>
      <c r="S121" s="7">
        <f t="shared" si="19"/>
        <v>0</v>
      </c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176</v>
      </c>
    </row>
    <row r="122" spans="1:28" x14ac:dyDescent="0.25">
      <c r="A122" s="1" t="s">
        <v>84</v>
      </c>
      <c r="B122" s="40" t="s">
        <v>177</v>
      </c>
      <c r="C122" s="57" t="s">
        <v>178</v>
      </c>
      <c r="D122" s="16"/>
      <c r="E122" s="8"/>
      <c r="F122" s="8"/>
      <c r="H122" s="3" t="s">
        <v>50</v>
      </c>
      <c r="I122" s="3" t="str">
        <f t="shared" si="29"/>
        <v>Productos medicinales para uso humano</v>
      </c>
      <c r="J122" s="7">
        <f t="shared" si="29"/>
        <v>0</v>
      </c>
      <c r="M122" s="7">
        <f t="shared" si="28"/>
        <v>0</v>
      </c>
      <c r="N122" s="8">
        <f t="shared" si="18"/>
        <v>0</v>
      </c>
      <c r="O122" s="7">
        <f t="shared" si="27"/>
        <v>0</v>
      </c>
      <c r="P122" s="7"/>
      <c r="Q122" s="7"/>
      <c r="S122" s="7">
        <f t="shared" si="19"/>
        <v>0</v>
      </c>
      <c r="U122" s="7">
        <f>+O122</f>
        <v>0</v>
      </c>
      <c r="V122" s="7"/>
      <c r="W122" s="7">
        <f t="shared" si="25"/>
        <v>0</v>
      </c>
      <c r="Y122" s="7">
        <f t="shared" si="14"/>
        <v>0</v>
      </c>
      <c r="AA122" s="22" t="b">
        <f t="shared" si="24"/>
        <v>1</v>
      </c>
      <c r="AB122" s="57" t="s">
        <v>178</v>
      </c>
    </row>
    <row r="123" spans="1:28" s="40" customFormat="1" x14ac:dyDescent="0.25">
      <c r="A123" s="39"/>
      <c r="C123" s="50" t="s">
        <v>179</v>
      </c>
      <c r="D123" s="41"/>
      <c r="E123" s="30"/>
      <c r="F123" s="8"/>
      <c r="J123" s="17"/>
      <c r="M123" s="7">
        <f t="shared" si="28"/>
        <v>0</v>
      </c>
      <c r="N123" s="8">
        <f t="shared" si="18"/>
        <v>0</v>
      </c>
      <c r="O123" s="17">
        <f t="shared" si="27"/>
        <v>0</v>
      </c>
      <c r="P123" s="17"/>
      <c r="Q123" s="17"/>
      <c r="S123" s="17">
        <f t="shared" si="19"/>
        <v>0</v>
      </c>
      <c r="W123" s="7">
        <f t="shared" si="25"/>
        <v>0</v>
      </c>
      <c r="Y123" s="17">
        <f t="shared" si="14"/>
        <v>0</v>
      </c>
      <c r="AA123" s="22" t="b">
        <f t="shared" si="24"/>
        <v>1</v>
      </c>
      <c r="AB123" s="56" t="s">
        <v>179</v>
      </c>
    </row>
    <row r="124" spans="1:28" x14ac:dyDescent="0.25">
      <c r="A124" s="1" t="s">
        <v>160</v>
      </c>
      <c r="B124" s="40" t="s">
        <v>180</v>
      </c>
      <c r="C124" s="57" t="s">
        <v>181</v>
      </c>
      <c r="D124" s="16"/>
      <c r="E124" s="8"/>
      <c r="F124" s="8"/>
      <c r="H124" s="3" t="s">
        <v>50</v>
      </c>
      <c r="I124" s="3" t="str">
        <f t="shared" ref="I124:J128" si="30">+C124</f>
        <v>Artículos de cuero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181</v>
      </c>
    </row>
    <row r="125" spans="1:28" x14ac:dyDescent="0.25">
      <c r="A125" s="1" t="s">
        <v>160</v>
      </c>
      <c r="B125" s="40" t="e">
        <v>#N/A</v>
      </c>
      <c r="C125" s="57" t="s">
        <v>182</v>
      </c>
      <c r="D125" s="16"/>
      <c r="E125" s="8"/>
      <c r="F125" s="8"/>
      <c r="I125" s="3" t="str">
        <f t="shared" si="30"/>
        <v>Libros, revistas y periódicos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182</v>
      </c>
    </row>
    <row r="126" spans="1:28" x14ac:dyDescent="0.25">
      <c r="A126" s="1" t="s">
        <v>160</v>
      </c>
      <c r="B126" s="40" t="s">
        <v>183</v>
      </c>
      <c r="C126" s="57" t="s">
        <v>184</v>
      </c>
      <c r="D126" s="16"/>
      <c r="E126" s="8"/>
      <c r="F126" s="8"/>
      <c r="H126" s="3" t="s">
        <v>50</v>
      </c>
      <c r="I126" s="3" t="str">
        <f t="shared" si="30"/>
        <v>Llantas y neumáticos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184</v>
      </c>
    </row>
    <row r="127" spans="1:28" x14ac:dyDescent="0.25">
      <c r="A127" s="1" t="s">
        <v>160</v>
      </c>
      <c r="B127" s="40" t="s">
        <v>185</v>
      </c>
      <c r="C127" s="57" t="s">
        <v>186</v>
      </c>
      <c r="D127" s="16"/>
      <c r="E127" s="8"/>
      <c r="F127" s="8"/>
      <c r="H127" s="3" t="s">
        <v>50</v>
      </c>
      <c r="I127" s="3" t="str">
        <f t="shared" si="30"/>
        <v>Artículos de caucho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186</v>
      </c>
    </row>
    <row r="128" spans="1:28" x14ac:dyDescent="0.25">
      <c r="A128" s="1" t="s">
        <v>160</v>
      </c>
      <c r="B128" s="40" t="s">
        <v>187</v>
      </c>
      <c r="C128" s="57" t="s">
        <v>188</v>
      </c>
      <c r="D128" s="16"/>
      <c r="E128" s="8"/>
      <c r="F128" s="8"/>
      <c r="H128" s="3" t="s">
        <v>50</v>
      </c>
      <c r="I128" s="3" t="str">
        <f t="shared" si="30"/>
        <v>Artículos de plástico</v>
      </c>
      <c r="J128" s="7">
        <f t="shared" si="30"/>
        <v>0</v>
      </c>
      <c r="M128" s="7">
        <f t="shared" si="28"/>
        <v>0</v>
      </c>
      <c r="N128" s="8">
        <f t="shared" si="18"/>
        <v>0</v>
      </c>
      <c r="O128" s="7">
        <f t="shared" si="27"/>
        <v>0</v>
      </c>
      <c r="P128" s="7"/>
      <c r="Q128" s="7"/>
      <c r="S128" s="7">
        <f t="shared" si="19"/>
        <v>0</v>
      </c>
      <c r="W128" s="7">
        <f t="shared" si="25"/>
        <v>0</v>
      </c>
      <c r="Y128" s="7">
        <f t="shared" si="14"/>
        <v>0</v>
      </c>
      <c r="AA128" s="22" t="b">
        <f t="shared" si="24"/>
        <v>1</v>
      </c>
      <c r="AB128" s="57" t="s">
        <v>188</v>
      </c>
    </row>
    <row r="129" spans="1:28" s="40" customFormat="1" x14ac:dyDescent="0.25">
      <c r="A129" s="39"/>
      <c r="C129" s="50" t="s">
        <v>189</v>
      </c>
      <c r="D129" s="41"/>
      <c r="E129" s="30"/>
      <c r="F129" s="8"/>
      <c r="J129" s="17"/>
      <c r="M129" s="7">
        <f t="shared" si="28"/>
        <v>0</v>
      </c>
      <c r="N129" s="8">
        <f t="shared" si="18"/>
        <v>0</v>
      </c>
      <c r="O129" s="17">
        <f t="shared" si="27"/>
        <v>0</v>
      </c>
      <c r="P129" s="17"/>
      <c r="Q129" s="17"/>
      <c r="S129" s="17">
        <f t="shared" si="19"/>
        <v>0</v>
      </c>
      <c r="W129" s="7">
        <f t="shared" si="25"/>
        <v>0</v>
      </c>
      <c r="Y129" s="17">
        <f t="shared" si="14"/>
        <v>0</v>
      </c>
      <c r="AA129" s="22" t="b">
        <f t="shared" si="24"/>
        <v>1</v>
      </c>
      <c r="AB129" s="56" t="s">
        <v>189</v>
      </c>
    </row>
    <row r="130" spans="1:28" x14ac:dyDescent="0.25">
      <c r="A130" s="1" t="s">
        <v>160</v>
      </c>
      <c r="B130" s="40" t="s">
        <v>190</v>
      </c>
      <c r="C130" s="57" t="s">
        <v>191</v>
      </c>
      <c r="D130" s="16"/>
      <c r="E130" s="8"/>
      <c r="F130" s="8"/>
      <c r="H130" s="3" t="s">
        <v>50</v>
      </c>
      <c r="I130" s="3" t="str">
        <f t="shared" ref="I130:J138" si="31">+C130</f>
        <v>Productos de cemento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191</v>
      </c>
    </row>
    <row r="131" spans="1:28" x14ac:dyDescent="0.25">
      <c r="A131" s="1" t="s">
        <v>160</v>
      </c>
      <c r="B131" s="40" t="s">
        <v>192</v>
      </c>
      <c r="C131" s="57" t="s">
        <v>193</v>
      </c>
      <c r="D131" s="16"/>
      <c r="E131" s="8"/>
      <c r="F131" s="8"/>
      <c r="H131" s="3" t="s">
        <v>50</v>
      </c>
      <c r="I131" s="3" t="str">
        <f t="shared" si="31"/>
        <v>Productos de yeso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si="14"/>
        <v>0</v>
      </c>
      <c r="AA131" s="22" t="b">
        <f t="shared" si="24"/>
        <v>1</v>
      </c>
      <c r="AB131" s="57" t="s">
        <v>193</v>
      </c>
    </row>
    <row r="132" spans="1:28" x14ac:dyDescent="0.25">
      <c r="A132" s="1" t="s">
        <v>160</v>
      </c>
      <c r="B132" s="40" t="s">
        <v>194</v>
      </c>
      <c r="C132" s="57" t="s">
        <v>195</v>
      </c>
      <c r="D132" s="16"/>
      <c r="E132" s="8"/>
      <c r="F132" s="8"/>
      <c r="H132" s="3" t="s">
        <v>50</v>
      </c>
      <c r="I132" s="3" t="str">
        <f t="shared" si="31"/>
        <v>Productos de vidrio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ref="Y132:Y160" si="32">SUM(T132:X132)-O132</f>
        <v>0</v>
      </c>
      <c r="AA132" s="22" t="b">
        <f t="shared" si="24"/>
        <v>1</v>
      </c>
      <c r="AB132" s="57" t="s">
        <v>195</v>
      </c>
    </row>
    <row r="133" spans="1:28" x14ac:dyDescent="0.25">
      <c r="A133" s="1" t="s">
        <v>160</v>
      </c>
      <c r="B133" s="40" t="s">
        <v>196</v>
      </c>
      <c r="C133" s="57" t="s">
        <v>197</v>
      </c>
      <c r="D133" s="16"/>
      <c r="E133" s="8"/>
      <c r="F133" s="8"/>
      <c r="H133" s="3" t="s">
        <v>50</v>
      </c>
      <c r="I133" s="3" t="str">
        <f t="shared" si="31"/>
        <v>Productos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si="19"/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197</v>
      </c>
    </row>
    <row r="134" spans="1:28" x14ac:dyDescent="0.25">
      <c r="A134" s="1" t="s">
        <v>160</v>
      </c>
      <c r="B134" s="40" t="s">
        <v>198</v>
      </c>
      <c r="C134" s="57" t="s">
        <v>199</v>
      </c>
      <c r="D134" s="16"/>
      <c r="E134" s="8"/>
      <c r="F134" s="8"/>
      <c r="H134" s="3" t="s">
        <v>50</v>
      </c>
      <c r="I134" s="3" t="str">
        <f t="shared" si="31"/>
        <v>Productos no ferrosos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ref="S134:S167" si="33">SUM(N134:R134)</f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199</v>
      </c>
    </row>
    <row r="135" spans="1:28" x14ac:dyDescent="0.25">
      <c r="A135" s="1" t="s">
        <v>160</v>
      </c>
      <c r="B135" s="40" t="e">
        <v>#N/A</v>
      </c>
      <c r="C135" s="57" t="s">
        <v>200</v>
      </c>
      <c r="D135" s="16"/>
      <c r="E135" s="8"/>
      <c r="F135" s="8"/>
      <c r="I135" s="3" t="str">
        <f t="shared" si="31"/>
        <v>Herramientas menores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200</v>
      </c>
    </row>
    <row r="136" spans="1:28" x14ac:dyDescent="0.25">
      <c r="A136" s="1" t="s">
        <v>160</v>
      </c>
      <c r="B136" s="40" t="e">
        <v>#N/A</v>
      </c>
      <c r="C136" s="57" t="s">
        <v>201</v>
      </c>
      <c r="D136" s="16"/>
      <c r="E136" s="8"/>
      <c r="F136" s="8"/>
      <c r="I136" s="3" t="str">
        <f t="shared" si="31"/>
        <v>Productos de hojalata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201</v>
      </c>
    </row>
    <row r="137" spans="1:28" x14ac:dyDescent="0.25">
      <c r="A137" s="1" t="s">
        <v>160</v>
      </c>
      <c r="B137" s="40" t="s">
        <v>202</v>
      </c>
      <c r="C137" s="57" t="s">
        <v>203</v>
      </c>
      <c r="D137" s="16"/>
      <c r="E137" s="8"/>
      <c r="F137" s="8"/>
      <c r="H137" s="3" t="s">
        <v>50</v>
      </c>
      <c r="I137" s="3" t="str">
        <f t="shared" si="31"/>
        <v>Accesorios de metal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203</v>
      </c>
    </row>
    <row r="138" spans="1:28" x14ac:dyDescent="0.25">
      <c r="A138" s="1" t="s">
        <v>160</v>
      </c>
      <c r="B138" s="40" t="e">
        <v>#N/A</v>
      </c>
      <c r="C138" s="57" t="s">
        <v>204</v>
      </c>
      <c r="D138" s="16"/>
      <c r="E138" s="8"/>
      <c r="F138" s="8"/>
      <c r="I138" s="3" t="str">
        <f t="shared" si="31"/>
        <v>Piedra, arcilla y arena</v>
      </c>
      <c r="J138" s="7">
        <f t="shared" si="31"/>
        <v>0</v>
      </c>
      <c r="M138" s="7">
        <f t="shared" si="28"/>
        <v>0</v>
      </c>
      <c r="N138" s="8">
        <f t="shared" si="18"/>
        <v>0</v>
      </c>
      <c r="O138" s="7">
        <f t="shared" si="27"/>
        <v>0</v>
      </c>
      <c r="P138" s="7"/>
      <c r="Q138" s="7"/>
      <c r="S138" s="7">
        <f t="shared" si="33"/>
        <v>0</v>
      </c>
      <c r="W138" s="7">
        <f t="shared" si="25"/>
        <v>0</v>
      </c>
      <c r="Y138" s="7">
        <f t="shared" si="32"/>
        <v>0</v>
      </c>
      <c r="AA138" s="22" t="b">
        <f t="shared" si="24"/>
        <v>1</v>
      </c>
      <c r="AB138" s="57" t="s">
        <v>204</v>
      </c>
    </row>
    <row r="139" spans="1:28" s="40" customFormat="1" x14ac:dyDescent="0.25">
      <c r="A139" s="39"/>
      <c r="C139" s="50" t="s">
        <v>205</v>
      </c>
      <c r="D139" s="41"/>
      <c r="E139" s="30"/>
      <c r="F139" s="8"/>
      <c r="J139" s="17"/>
      <c r="M139" s="7">
        <f t="shared" si="28"/>
        <v>0</v>
      </c>
      <c r="N139" s="8">
        <f t="shared" si="18"/>
        <v>0</v>
      </c>
      <c r="O139" s="17">
        <f t="shared" si="27"/>
        <v>0</v>
      </c>
      <c r="P139" s="17"/>
      <c r="Q139" s="17"/>
      <c r="S139" s="17">
        <f t="shared" si="33"/>
        <v>0</v>
      </c>
      <c r="W139" s="7">
        <f t="shared" si="25"/>
        <v>0</v>
      </c>
      <c r="Y139" s="17">
        <f t="shared" si="32"/>
        <v>0</v>
      </c>
      <c r="AA139" s="22" t="b">
        <f t="shared" si="24"/>
        <v>1</v>
      </c>
      <c r="AB139" s="56" t="s">
        <v>205</v>
      </c>
    </row>
    <row r="140" spans="1:28" x14ac:dyDescent="0.25">
      <c r="A140" s="1" t="s">
        <v>160</v>
      </c>
      <c r="B140" s="40" t="s">
        <v>206</v>
      </c>
      <c r="C140" s="57" t="s">
        <v>207</v>
      </c>
      <c r="D140" s="16"/>
      <c r="E140" s="8"/>
      <c r="F140" s="8"/>
      <c r="H140" s="3" t="s">
        <v>50</v>
      </c>
      <c r="I140" s="3" t="str">
        <f t="shared" ref="I140:J156" si="34">+C140</f>
        <v>Gasolina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207</v>
      </c>
    </row>
    <row r="141" spans="1:28" x14ac:dyDescent="0.25">
      <c r="A141" s="1" t="s">
        <v>160</v>
      </c>
      <c r="B141" s="40" t="s">
        <v>208</v>
      </c>
      <c r="C141" s="57" t="s">
        <v>209</v>
      </c>
      <c r="D141" s="16"/>
      <c r="E141" s="8"/>
      <c r="F141" s="8"/>
      <c r="H141" s="3" t="s">
        <v>50</v>
      </c>
      <c r="I141" s="3" t="str">
        <f t="shared" si="34"/>
        <v>Gasoil</v>
      </c>
      <c r="J141" s="7">
        <f t="shared" si="34"/>
        <v>0</v>
      </c>
      <c r="M141" s="7">
        <f t="shared" si="28"/>
        <v>0</v>
      </c>
      <c r="N141" s="8">
        <f t="shared" si="18"/>
        <v>0</v>
      </c>
      <c r="O141" s="7">
        <f t="shared" si="27"/>
        <v>0</v>
      </c>
      <c r="P141" s="7"/>
      <c r="Q141" s="7"/>
      <c r="S141" s="7">
        <f t="shared" si="33"/>
        <v>0</v>
      </c>
      <c r="W141" s="7">
        <f t="shared" si="25"/>
        <v>0</v>
      </c>
      <c r="Y141" s="7">
        <f t="shared" si="32"/>
        <v>0</v>
      </c>
      <c r="AA141" s="22" t="b">
        <f t="shared" si="24"/>
        <v>1</v>
      </c>
      <c r="AB141" s="57" t="s">
        <v>209</v>
      </c>
    </row>
    <row r="142" spans="1:28" x14ac:dyDescent="0.25">
      <c r="A142" s="1" t="s">
        <v>160</v>
      </c>
      <c r="B142" s="40"/>
      <c r="C142" s="57" t="s">
        <v>465</v>
      </c>
      <c r="D142" s="16"/>
      <c r="E142" s="8"/>
      <c r="F142" s="8"/>
      <c r="I142" s="3" t="str">
        <f t="shared" si="34"/>
        <v>GLP</v>
      </c>
      <c r="J142" s="7"/>
      <c r="M142" s="7"/>
      <c r="N142" s="8"/>
      <c r="O142" s="7"/>
      <c r="P142" s="7"/>
      <c r="Q142" s="7"/>
      <c r="S142" s="7"/>
      <c r="W142" s="7"/>
      <c r="Y142" s="7"/>
      <c r="AA142" s="22"/>
      <c r="AB142" s="57"/>
    </row>
    <row r="143" spans="1:28" x14ac:dyDescent="0.25">
      <c r="A143" s="1" t="s">
        <v>160</v>
      </c>
      <c r="B143" s="40" t="e">
        <v>#N/A</v>
      </c>
      <c r="C143" s="57" t="s">
        <v>210</v>
      </c>
      <c r="D143" s="16"/>
      <c r="E143" s="8"/>
      <c r="F143" s="8"/>
      <c r="I143" s="3" t="str">
        <f t="shared" si="34"/>
        <v>Aceites y grasas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210</v>
      </c>
    </row>
    <row r="144" spans="1:28" x14ac:dyDescent="0.25">
      <c r="A144" s="1" t="s">
        <v>160</v>
      </c>
      <c r="B144" s="40" t="s">
        <v>211</v>
      </c>
      <c r="C144" s="57" t="s">
        <v>212</v>
      </c>
      <c r="D144" s="16"/>
      <c r="E144" s="8"/>
      <c r="F144" s="8"/>
      <c r="H144" s="3" t="s">
        <v>50</v>
      </c>
      <c r="I144" s="3" t="str">
        <f t="shared" si="34"/>
        <v>Productos químicos de laboratorio y de uso personal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212</v>
      </c>
    </row>
    <row r="145" spans="1:28" x14ac:dyDescent="0.25">
      <c r="A145" s="1" t="s">
        <v>160</v>
      </c>
      <c r="B145" s="40" t="s">
        <v>213</v>
      </c>
      <c r="C145" s="57" t="s">
        <v>214</v>
      </c>
      <c r="D145" s="16"/>
      <c r="E145" s="8"/>
      <c r="F145" s="8"/>
      <c r="H145" s="3" t="s">
        <v>50</v>
      </c>
      <c r="I145" s="3" t="str">
        <f t="shared" si="34"/>
        <v>Insecticidas, fumigantes y otros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214</v>
      </c>
    </row>
    <row r="146" spans="1:28" x14ac:dyDescent="0.25">
      <c r="A146" s="1" t="s">
        <v>160</v>
      </c>
      <c r="B146" s="40" t="s">
        <v>215</v>
      </c>
      <c r="C146" s="57" t="s">
        <v>216</v>
      </c>
      <c r="D146" s="16"/>
      <c r="E146" s="8"/>
      <c r="F146" s="8"/>
      <c r="H146" s="3" t="s">
        <v>50</v>
      </c>
      <c r="I146" s="3" t="str">
        <f t="shared" si="34"/>
        <v>Pinturas, lacas, barnices, diluyentes y absorbentes para pinturas</v>
      </c>
      <c r="J146" s="7">
        <f t="shared" si="34"/>
        <v>0</v>
      </c>
      <c r="M146" s="7">
        <f t="shared" si="28"/>
        <v>0</v>
      </c>
      <c r="N146" s="8">
        <f t="shared" si="18"/>
        <v>0</v>
      </c>
      <c r="O146" s="7">
        <f t="shared" si="27"/>
        <v>0</v>
      </c>
      <c r="P146" s="7"/>
      <c r="Q146" s="7"/>
      <c r="S146" s="7">
        <f t="shared" si="33"/>
        <v>0</v>
      </c>
      <c r="W146" s="7">
        <f t="shared" si="25"/>
        <v>0</v>
      </c>
      <c r="Y146" s="7">
        <f t="shared" si="32"/>
        <v>0</v>
      </c>
      <c r="AA146" s="22" t="b">
        <f t="shared" si="24"/>
        <v>1</v>
      </c>
      <c r="AB146" s="57" t="s">
        <v>216</v>
      </c>
    </row>
    <row r="147" spans="1:28" s="40" customFormat="1" x14ac:dyDescent="0.25">
      <c r="A147" s="39"/>
      <c r="C147" s="50" t="s">
        <v>217</v>
      </c>
      <c r="D147" s="41"/>
      <c r="E147" s="30"/>
      <c r="F147" s="8"/>
      <c r="J147" s="7">
        <f t="shared" si="34"/>
        <v>0</v>
      </c>
      <c r="M147" s="7">
        <f t="shared" si="28"/>
        <v>0</v>
      </c>
      <c r="N147" s="8">
        <f t="shared" si="18"/>
        <v>0</v>
      </c>
      <c r="O147" s="17">
        <f t="shared" si="27"/>
        <v>0</v>
      </c>
      <c r="P147" s="17"/>
      <c r="Q147" s="17"/>
      <c r="S147" s="17">
        <f t="shared" si="33"/>
        <v>0</v>
      </c>
      <c r="W147" s="7">
        <f t="shared" si="25"/>
        <v>0</v>
      </c>
      <c r="Y147" s="17">
        <f t="shared" si="32"/>
        <v>0</v>
      </c>
      <c r="AA147" s="22" t="b">
        <f t="shared" si="24"/>
        <v>1</v>
      </c>
      <c r="AB147" s="56" t="s">
        <v>217</v>
      </c>
    </row>
    <row r="148" spans="1:28" x14ac:dyDescent="0.25">
      <c r="A148" s="1" t="s">
        <v>160</v>
      </c>
      <c r="B148" s="40" t="s">
        <v>218</v>
      </c>
      <c r="C148" s="57" t="s">
        <v>219</v>
      </c>
      <c r="D148" s="16"/>
      <c r="E148" s="8"/>
      <c r="F148" s="8"/>
      <c r="H148" s="3" t="s">
        <v>50</v>
      </c>
      <c r="I148" s="3" t="str">
        <f>+C148</f>
        <v>Material para limpieza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219</v>
      </c>
    </row>
    <row r="149" spans="1:28" x14ac:dyDescent="0.25">
      <c r="A149" s="1" t="s">
        <v>160</v>
      </c>
      <c r="B149" s="40" t="s">
        <v>220</v>
      </c>
      <c r="C149" s="57" t="s">
        <v>221</v>
      </c>
      <c r="D149" s="16"/>
      <c r="E149" s="8"/>
      <c r="F149" s="8"/>
      <c r="H149" s="3" t="s">
        <v>50</v>
      </c>
      <c r="I149" s="3" t="str">
        <f>+C149</f>
        <v>Útiles de escritorio, oficina e informática 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221</v>
      </c>
    </row>
    <row r="150" spans="1:28" x14ac:dyDescent="0.25">
      <c r="A150" s="1" t="s">
        <v>160</v>
      </c>
      <c r="B150" s="40" t="s">
        <v>222</v>
      </c>
      <c r="C150" s="57" t="s">
        <v>223</v>
      </c>
      <c r="D150" s="16"/>
      <c r="E150" s="8"/>
      <c r="F150" s="8"/>
      <c r="H150" s="3" t="s">
        <v>50</v>
      </c>
      <c r="I150" s="3" t="str">
        <f>+C150</f>
        <v>Útiles menores médico quirurgicos</v>
      </c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 t="shared" si="27"/>
        <v>0</v>
      </c>
      <c r="P150" s="7"/>
      <c r="Q150" s="7"/>
      <c r="S150" s="7">
        <f t="shared" si="33"/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223</v>
      </c>
    </row>
    <row r="151" spans="1:28" x14ac:dyDescent="0.25">
      <c r="A151" s="1" t="s">
        <v>160</v>
      </c>
      <c r="B151" s="40"/>
      <c r="C151" s="57" t="s">
        <v>224</v>
      </c>
      <c r="D151" s="16"/>
      <c r="E151" s="8"/>
      <c r="F151" s="8"/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>-N151</f>
        <v>0</v>
      </c>
      <c r="P151" s="7"/>
      <c r="Q151" s="7"/>
      <c r="S151" s="7">
        <f>SUM(N151:R151)</f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224</v>
      </c>
    </row>
    <row r="152" spans="1:28" x14ac:dyDescent="0.25">
      <c r="A152" s="1" t="s">
        <v>160</v>
      </c>
      <c r="B152" s="40" t="s">
        <v>225</v>
      </c>
      <c r="C152" s="57" t="s">
        <v>224</v>
      </c>
      <c r="D152" s="16"/>
      <c r="E152" s="8"/>
      <c r="F152" s="8"/>
      <c r="I152" s="3" t="str">
        <f t="shared" ref="I152:J167" si="35">+C152</f>
        <v>Útiles destinados a actividades deportivas y recreativas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224</v>
      </c>
    </row>
    <row r="153" spans="1:28" x14ac:dyDescent="0.25">
      <c r="A153" s="1" t="s">
        <v>160</v>
      </c>
      <c r="B153" s="40" t="s">
        <v>226</v>
      </c>
      <c r="C153" s="57" t="s">
        <v>227</v>
      </c>
      <c r="D153" s="16"/>
      <c r="E153" s="8"/>
      <c r="F153" s="8"/>
      <c r="H153" s="3" t="s">
        <v>50</v>
      </c>
      <c r="I153" s="3" t="str">
        <f t="shared" si="35"/>
        <v>Productos eléctricos y afines</v>
      </c>
      <c r="J153" s="7">
        <f t="shared" si="34"/>
        <v>0</v>
      </c>
      <c r="M153" s="7">
        <f t="shared" si="28"/>
        <v>0</v>
      </c>
      <c r="N153" s="8">
        <f t="shared" si="18"/>
        <v>0</v>
      </c>
      <c r="O153" s="7">
        <f t="shared" si="27"/>
        <v>0</v>
      </c>
      <c r="P153" s="7"/>
      <c r="Q153" s="7"/>
      <c r="S153" s="7">
        <f t="shared" si="33"/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227</v>
      </c>
    </row>
    <row r="154" spans="1:28" x14ac:dyDescent="0.25">
      <c r="A154" s="1" t="s">
        <v>160</v>
      </c>
      <c r="B154" s="40" t="s">
        <v>228</v>
      </c>
      <c r="C154" s="57" t="s">
        <v>229</v>
      </c>
      <c r="D154" s="16"/>
      <c r="E154" s="8"/>
      <c r="F154" s="8"/>
      <c r="H154" s="3" t="s">
        <v>50</v>
      </c>
      <c r="I154" s="3" t="str">
        <f t="shared" si="35"/>
        <v xml:space="preserve">Productos y utiles veterinarios </v>
      </c>
      <c r="J154" s="7">
        <f t="shared" si="34"/>
        <v>0</v>
      </c>
      <c r="M154" s="7">
        <f t="shared" si="28"/>
        <v>0</v>
      </c>
      <c r="N154" s="8">
        <f t="shared" ref="N154:N167" si="36">+J154+K154-L154-M154</f>
        <v>0</v>
      </c>
      <c r="O154" s="7">
        <f>-N154</f>
        <v>0</v>
      </c>
      <c r="P154" s="7"/>
      <c r="Q154" s="7"/>
      <c r="S154" s="7">
        <f>SUM(N154:R154)</f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229</v>
      </c>
    </row>
    <row r="155" spans="1:28" x14ac:dyDescent="0.25">
      <c r="A155" s="1" t="s">
        <v>160</v>
      </c>
      <c r="B155" s="40" t="s">
        <v>230</v>
      </c>
      <c r="C155" s="57" t="s">
        <v>231</v>
      </c>
      <c r="D155" s="16"/>
      <c r="E155" s="8"/>
      <c r="F155" s="8"/>
      <c r="H155" s="3" t="s">
        <v>50</v>
      </c>
      <c r="I155" s="3" t="str">
        <f t="shared" si="35"/>
        <v>Otros repuestos y accesorios menores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W155" s="7">
        <f t="shared" si="25"/>
        <v>0</v>
      </c>
      <c r="Y155" s="7">
        <f t="shared" si="32"/>
        <v>0</v>
      </c>
      <c r="AA155" s="22" t="b">
        <f t="shared" si="24"/>
        <v>1</v>
      </c>
      <c r="AB155" s="57" t="s">
        <v>231</v>
      </c>
    </row>
    <row r="156" spans="1:28" x14ac:dyDescent="0.25">
      <c r="A156" s="1" t="s">
        <v>160</v>
      </c>
      <c r="B156" s="40" t="s">
        <v>232</v>
      </c>
      <c r="C156" s="57" t="s">
        <v>233</v>
      </c>
      <c r="D156" s="16"/>
      <c r="E156" s="8"/>
      <c r="F156" s="8"/>
      <c r="H156" s="3" t="s">
        <v>50</v>
      </c>
      <c r="I156" s="3" t="str">
        <f t="shared" si="35"/>
        <v>Productos y útiles varios</v>
      </c>
      <c r="J156" s="7">
        <f t="shared" si="34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/>
      <c r="V156" s="7"/>
      <c r="W156" s="7">
        <f t="shared" si="25"/>
        <v>0</v>
      </c>
      <c r="Y156" s="7">
        <f t="shared" si="32"/>
        <v>0</v>
      </c>
      <c r="AA156" s="22" t="b">
        <f t="shared" si="24"/>
        <v>0</v>
      </c>
      <c r="AB156" s="57" t="s">
        <v>234</v>
      </c>
    </row>
    <row r="157" spans="1:28" x14ac:dyDescent="0.25">
      <c r="A157" s="1" t="s">
        <v>84</v>
      </c>
      <c r="B157" s="40" t="s">
        <v>235</v>
      </c>
      <c r="C157" s="57" t="s">
        <v>236</v>
      </c>
      <c r="D157" s="16"/>
      <c r="E157" s="8"/>
      <c r="F157" s="8"/>
      <c r="H157" s="3" t="s">
        <v>50</v>
      </c>
      <c r="I157" s="3" t="str">
        <f t="shared" si="35"/>
        <v>Bonos para útiles diversos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7">
        <f t="shared" si="27"/>
        <v>0</v>
      </c>
      <c r="P157" s="7"/>
      <c r="Q157" s="7"/>
      <c r="S157" s="7">
        <f t="shared" si="33"/>
        <v>0</v>
      </c>
      <c r="U157" s="7">
        <f>+O157</f>
        <v>0</v>
      </c>
      <c r="V157" s="7"/>
      <c r="W157" s="7">
        <f t="shared" si="25"/>
        <v>0</v>
      </c>
      <c r="Y157" s="7">
        <f t="shared" si="32"/>
        <v>0</v>
      </c>
      <c r="AA157" s="22" t="b">
        <f t="shared" si="24"/>
        <v>1</v>
      </c>
      <c r="AB157" s="57" t="s">
        <v>236</v>
      </c>
    </row>
    <row r="158" spans="1:28" s="40" customFormat="1" x14ac:dyDescent="0.25">
      <c r="A158" s="39"/>
      <c r="B158" s="2"/>
      <c r="C158" s="59" t="s">
        <v>237</v>
      </c>
      <c r="D158" s="43"/>
      <c r="E158" s="30"/>
      <c r="F158" s="8"/>
      <c r="I158" s="40" t="str">
        <f t="shared" si="35"/>
        <v>ajustes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17">
        <f t="shared" si="27"/>
        <v>0</v>
      </c>
      <c r="P158" s="17"/>
      <c r="Q158" s="17"/>
      <c r="S158" s="7">
        <f t="shared" si="33"/>
        <v>0</v>
      </c>
      <c r="U158" s="7"/>
      <c r="W158" s="7">
        <f t="shared" si="25"/>
        <v>0</v>
      </c>
      <c r="Y158" s="17">
        <f t="shared" si="32"/>
        <v>0</v>
      </c>
      <c r="AA158" s="22" t="b">
        <f t="shared" si="24"/>
        <v>0</v>
      </c>
      <c r="AB158" s="60"/>
    </row>
    <row r="159" spans="1:28" x14ac:dyDescent="0.25">
      <c r="A159" s="1" t="s">
        <v>160</v>
      </c>
      <c r="B159" s="61" t="s">
        <v>238</v>
      </c>
      <c r="C159" s="57" t="s">
        <v>239</v>
      </c>
      <c r="D159" s="16"/>
      <c r="E159" s="8"/>
      <c r="F159" s="8"/>
      <c r="I159" s="3" t="str">
        <f>+C159</f>
        <v>Minerales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239</v>
      </c>
    </row>
    <row r="160" spans="1:28" x14ac:dyDescent="0.25">
      <c r="A160" s="1" t="s">
        <v>160</v>
      </c>
      <c r="B160" s="61" t="s">
        <v>240</v>
      </c>
      <c r="C160" s="57" t="s">
        <v>241</v>
      </c>
      <c r="D160" s="16"/>
      <c r="E160" s="8"/>
      <c r="F160" s="8"/>
      <c r="H160" s="3" t="s">
        <v>50</v>
      </c>
      <c r="I160" s="3" t="str">
        <f>+C160</f>
        <v>Útiles de cocina y comedor</v>
      </c>
      <c r="J160" s="7">
        <f t="shared" si="35"/>
        <v>0</v>
      </c>
      <c r="M160" s="7">
        <f t="shared" si="28"/>
        <v>0</v>
      </c>
      <c r="N160" s="8">
        <f t="shared" si="36"/>
        <v>0</v>
      </c>
      <c r="O160" s="7">
        <f t="shared" si="27"/>
        <v>0</v>
      </c>
      <c r="P160" s="7"/>
      <c r="Q160" s="7"/>
      <c r="S160" s="7">
        <f t="shared" si="33"/>
        <v>0</v>
      </c>
      <c r="U160" s="7">
        <f>+O160</f>
        <v>0</v>
      </c>
      <c r="W160" s="7">
        <f t="shared" si="25"/>
        <v>0</v>
      </c>
      <c r="Y160" s="7">
        <f t="shared" si="32"/>
        <v>0</v>
      </c>
      <c r="AA160" s="22" t="b">
        <f t="shared" si="24"/>
        <v>1</v>
      </c>
      <c r="AB160" s="57" t="s">
        <v>241</v>
      </c>
    </row>
    <row r="161" spans="1:28" s="40" customFormat="1" x14ac:dyDescent="0.25">
      <c r="A161" s="39"/>
      <c r="B161" s="62"/>
      <c r="C161" s="59"/>
      <c r="D161" s="41"/>
      <c r="E161" s="30"/>
      <c r="F161" s="8"/>
      <c r="J161" s="7">
        <f t="shared" si="35"/>
        <v>0</v>
      </c>
      <c r="M161" s="7">
        <f t="shared" si="28"/>
        <v>0</v>
      </c>
      <c r="N161" s="8">
        <f t="shared" si="36"/>
        <v>0</v>
      </c>
      <c r="O161" s="17"/>
      <c r="P161" s="17"/>
      <c r="Q161" s="17"/>
      <c r="S161" s="7">
        <f t="shared" si="33"/>
        <v>0</v>
      </c>
      <c r="U161" s="7">
        <f>+O161</f>
        <v>0</v>
      </c>
      <c r="W161" s="7">
        <f t="shared" si="25"/>
        <v>0</v>
      </c>
      <c r="X161" s="7">
        <f t="shared" ref="X161:X169" si="37">N161</f>
        <v>0</v>
      </c>
      <c r="Y161" s="17"/>
      <c r="AA161" s="57"/>
      <c r="AB161" s="57"/>
    </row>
    <row r="162" spans="1:28" x14ac:dyDescent="0.25">
      <c r="A162" s="1" t="s">
        <v>108</v>
      </c>
      <c r="C162" s="3" t="s">
        <v>242</v>
      </c>
      <c r="D162" s="16"/>
      <c r="E162" s="8"/>
      <c r="F162" s="8"/>
      <c r="H162" s="3" t="s">
        <v>50</v>
      </c>
      <c r="I162" s="3" t="s">
        <v>242</v>
      </c>
      <c r="J162" s="7">
        <f t="shared" si="35"/>
        <v>0</v>
      </c>
      <c r="K162" s="7"/>
      <c r="L162" s="7"/>
      <c r="M162" s="7">
        <f t="shared" si="28"/>
        <v>0</v>
      </c>
      <c r="N162" s="8">
        <f t="shared" si="36"/>
        <v>0</v>
      </c>
      <c r="O162" s="7">
        <f>-N162</f>
        <v>0</v>
      </c>
      <c r="P162" s="7"/>
      <c r="Q162" s="7"/>
      <c r="S162" s="7">
        <f t="shared" si="33"/>
        <v>0</v>
      </c>
      <c r="U162" s="7"/>
      <c r="V162" s="7"/>
      <c r="W162" s="7">
        <f t="shared" si="25"/>
        <v>0</v>
      </c>
      <c r="X162" s="7"/>
      <c r="Y162" s="7">
        <f>SUM(T162:X162)-O162</f>
        <v>0</v>
      </c>
    </row>
    <row r="163" spans="1:28" s="40" customFormat="1" x14ac:dyDescent="0.25">
      <c r="A163" s="39"/>
      <c r="B163" s="2"/>
      <c r="C163" s="50" t="s">
        <v>243</v>
      </c>
      <c r="D163" s="41"/>
      <c r="E163" s="30"/>
      <c r="F163" s="8"/>
      <c r="J163" s="7">
        <f t="shared" si="35"/>
        <v>0</v>
      </c>
      <c r="M163" s="7">
        <f t="shared" si="28"/>
        <v>0</v>
      </c>
      <c r="N163" s="8">
        <f t="shared" si="36"/>
        <v>0</v>
      </c>
      <c r="U163" s="7">
        <f t="shared" ref="U163:U173" si="38">+O163</f>
        <v>0</v>
      </c>
      <c r="W163" s="7">
        <f t="shared" si="25"/>
        <v>0</v>
      </c>
      <c r="X163" s="7">
        <f t="shared" si="37"/>
        <v>0</v>
      </c>
    </row>
    <row r="164" spans="1:28" x14ac:dyDescent="0.25">
      <c r="A164" s="1" t="s">
        <v>244</v>
      </c>
      <c r="B164" s="54" t="s">
        <v>245</v>
      </c>
      <c r="C164" s="3" t="s">
        <v>246</v>
      </c>
      <c r="D164" s="16"/>
      <c r="E164" s="8"/>
      <c r="F164" s="8"/>
      <c r="H164" s="3" t="s">
        <v>50</v>
      </c>
      <c r="I164" s="3" t="str">
        <f t="shared" ref="I164:J179" si="39">+C164</f>
        <v>Ayudas y donaciones ocacionales a hogares y personas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W164" s="7">
        <f t="shared" si="25"/>
        <v>0</v>
      </c>
      <c r="X164" s="7">
        <f t="shared" si="37"/>
        <v>0</v>
      </c>
      <c r="Y164" s="7">
        <f t="shared" ref="Y164:Y170" si="40">SUM(T164:X164)-O164</f>
        <v>0</v>
      </c>
    </row>
    <row r="165" spans="1:28" x14ac:dyDescent="0.25">
      <c r="A165" s="1" t="s">
        <v>84</v>
      </c>
      <c r="B165" s="54" t="s">
        <v>247</v>
      </c>
      <c r="C165" s="3" t="s">
        <v>248</v>
      </c>
      <c r="D165" s="16"/>
      <c r="E165" s="8"/>
      <c r="F165" s="8"/>
      <c r="H165" s="3" t="s">
        <v>50</v>
      </c>
      <c r="I165" s="3" t="str">
        <f t="shared" si="39"/>
        <v>Becas nacionales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8" x14ac:dyDescent="0.25">
      <c r="A166" s="1" t="s">
        <v>84</v>
      </c>
      <c r="B166" s="54" t="s">
        <v>249</v>
      </c>
      <c r="C166" s="3" t="s">
        <v>250</v>
      </c>
      <c r="D166" s="16"/>
      <c r="E166" s="8"/>
      <c r="F166" s="8"/>
      <c r="I166" s="3" t="str">
        <f t="shared" si="39"/>
        <v>Becas extranjeras</v>
      </c>
      <c r="J166" s="7">
        <f t="shared" si="35"/>
        <v>0</v>
      </c>
      <c r="K166" s="7"/>
      <c r="L166" s="7"/>
      <c r="M166" s="7">
        <f t="shared" si="28"/>
        <v>0</v>
      </c>
      <c r="N166" s="8">
        <f t="shared" si="36"/>
        <v>0</v>
      </c>
      <c r="O166" s="7">
        <f t="shared" si="27"/>
        <v>0</v>
      </c>
      <c r="P166" s="7"/>
      <c r="Q166" s="7"/>
      <c r="S166" s="7">
        <f t="shared" si="33"/>
        <v>0</v>
      </c>
      <c r="U166" s="7">
        <f t="shared" si="38"/>
        <v>0</v>
      </c>
      <c r="V166" s="7"/>
      <c r="W166" s="7">
        <f t="shared" si="25"/>
        <v>0</v>
      </c>
      <c r="X166" s="7">
        <f t="shared" si="37"/>
        <v>0</v>
      </c>
      <c r="Y166" s="7">
        <f t="shared" si="40"/>
        <v>0</v>
      </c>
    </row>
    <row r="167" spans="1:28" x14ac:dyDescent="0.25">
      <c r="A167" s="1" t="s">
        <v>244</v>
      </c>
      <c r="B167" s="54" t="s">
        <v>251</v>
      </c>
      <c r="C167" s="3" t="s">
        <v>466</v>
      </c>
      <c r="D167" s="16"/>
      <c r="E167" s="8"/>
      <c r="F167" s="8"/>
      <c r="H167" s="3" t="s">
        <v>50</v>
      </c>
      <c r="I167" s="3" t="str">
        <f t="shared" si="39"/>
        <v xml:space="preserve">Transferencias corrientes </v>
      </c>
      <c r="J167" s="7">
        <f t="shared" si="35"/>
        <v>0</v>
      </c>
      <c r="K167" s="7"/>
      <c r="L167" s="7"/>
      <c r="M167" s="7">
        <f t="shared" si="28"/>
        <v>0</v>
      </c>
      <c r="N167" s="8">
        <f t="shared" si="36"/>
        <v>0</v>
      </c>
      <c r="O167" s="7">
        <f t="shared" si="27"/>
        <v>0</v>
      </c>
      <c r="P167" s="7"/>
      <c r="Q167" s="7"/>
      <c r="S167" s="7">
        <f t="shared" si="33"/>
        <v>0</v>
      </c>
      <c r="U167" s="7"/>
      <c r="W167" s="7"/>
      <c r="X167" s="7"/>
      <c r="Y167" s="7"/>
    </row>
    <row r="168" spans="1:28" x14ac:dyDescent="0.25">
      <c r="A168" s="1" t="s">
        <v>252</v>
      </c>
      <c r="B168" s="63"/>
      <c r="C168" s="64" t="s">
        <v>253</v>
      </c>
      <c r="D168" s="16">
        <v>2178537.0099999998</v>
      </c>
      <c r="E168" s="8"/>
      <c r="F168" s="8"/>
      <c r="I168" s="3" t="str">
        <f t="shared" si="39"/>
        <v>Gasto de depreciación</v>
      </c>
      <c r="J168" s="7">
        <f t="shared" si="39"/>
        <v>2178537.0099999998</v>
      </c>
      <c r="K168" s="36"/>
      <c r="L168" s="7"/>
      <c r="M168" s="7">
        <f t="shared" si="28"/>
        <v>0</v>
      </c>
      <c r="N168" s="8"/>
      <c r="O168" s="7"/>
      <c r="P168" s="7"/>
      <c r="Q168" s="7"/>
      <c r="S168" s="7"/>
      <c r="U168" s="7"/>
      <c r="W168" s="7"/>
      <c r="X168" s="7"/>
      <c r="Y168" s="7"/>
    </row>
    <row r="169" spans="1:28" x14ac:dyDescent="0.25">
      <c r="A169" s="1" t="s">
        <v>252</v>
      </c>
      <c r="B169" s="63"/>
      <c r="C169" s="64" t="s">
        <v>254</v>
      </c>
      <c r="D169" s="65"/>
      <c r="E169" s="8"/>
      <c r="F169" s="8"/>
      <c r="I169" s="3" t="str">
        <f t="shared" si="39"/>
        <v>Gasto de amortización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>
        <f t="shared" si="25"/>
        <v>0</v>
      </c>
      <c r="X169" s="7">
        <f t="shared" si="37"/>
        <v>0</v>
      </c>
      <c r="Y169" s="7">
        <f t="shared" si="40"/>
        <v>0</v>
      </c>
    </row>
    <row r="170" spans="1:28" x14ac:dyDescent="0.25">
      <c r="A170" s="1" t="s">
        <v>108</v>
      </c>
      <c r="C170" s="3" t="s">
        <v>255</v>
      </c>
      <c r="D170" s="7"/>
      <c r="E170" s="8">
        <f>SUM(E41:E168)</f>
        <v>-1055000</v>
      </c>
      <c r="F170" s="8"/>
      <c r="I170" s="3" t="str">
        <f t="shared" si="39"/>
        <v>Pérdida por retiro</v>
      </c>
      <c r="J170" s="7">
        <f t="shared" si="39"/>
        <v>0</v>
      </c>
      <c r="K170" s="7"/>
      <c r="L170" s="7"/>
      <c r="M170" s="7">
        <f t="shared" si="28"/>
        <v>0</v>
      </c>
      <c r="N170" s="8">
        <f>+J170+K170-L170-M170</f>
        <v>0</v>
      </c>
      <c r="O170" s="7">
        <f t="shared" si="27"/>
        <v>0</v>
      </c>
      <c r="P170" s="7"/>
      <c r="Q170" s="7"/>
      <c r="S170" s="7">
        <f>SUM(N170:R170)</f>
        <v>0</v>
      </c>
      <c r="U170" s="7">
        <f t="shared" si="38"/>
        <v>0</v>
      </c>
      <c r="W170" s="7"/>
      <c r="Y170" s="7">
        <f t="shared" si="40"/>
        <v>0</v>
      </c>
    </row>
    <row r="171" spans="1:28" x14ac:dyDescent="0.25">
      <c r="C171" s="22"/>
      <c r="D171" s="7"/>
      <c r="E171" s="8"/>
      <c r="F171" s="8">
        <f>+D167+D112+D92+D63+D49</f>
        <v>11883473.82</v>
      </c>
      <c r="J171" s="7">
        <f t="shared" si="39"/>
        <v>0</v>
      </c>
      <c r="K171" s="7"/>
      <c r="L171" s="7"/>
      <c r="M171" s="7"/>
      <c r="N171" s="8"/>
      <c r="O171" s="7"/>
      <c r="P171" s="7"/>
      <c r="Q171" s="7"/>
      <c r="S171" s="7"/>
      <c r="U171" s="7">
        <f t="shared" si="38"/>
        <v>0</v>
      </c>
      <c r="W171" s="7"/>
      <c r="Y171" s="7"/>
    </row>
    <row r="172" spans="1:28" s="40" customFormat="1" x14ac:dyDescent="0.25">
      <c r="A172" s="39"/>
      <c r="B172" s="2"/>
      <c r="C172" s="50" t="s">
        <v>256</v>
      </c>
      <c r="D172" s="65"/>
      <c r="E172" s="8"/>
      <c r="F172" s="8"/>
      <c r="G172" s="66"/>
      <c r="I172" s="40" t="s">
        <v>257</v>
      </c>
      <c r="J172" s="7">
        <f t="shared" si="39"/>
        <v>0</v>
      </c>
      <c r="K172" s="17">
        <f>+L35</f>
        <v>0</v>
      </c>
      <c r="L172" s="17"/>
      <c r="M172" s="17"/>
      <c r="N172" s="30">
        <f>J172+K172+L172-M172</f>
        <v>0</v>
      </c>
      <c r="O172" s="17">
        <f t="shared" si="27"/>
        <v>0</v>
      </c>
      <c r="P172" s="17"/>
      <c r="Q172" s="17"/>
      <c r="S172" s="17">
        <f>SUM(N172:R172)</f>
        <v>0</v>
      </c>
      <c r="U172" s="7"/>
      <c r="W172" s="7"/>
      <c r="Y172" s="17">
        <f>SUM(T172:X172)-O172</f>
        <v>0</v>
      </c>
    </row>
    <row r="173" spans="1:28" x14ac:dyDescent="0.25">
      <c r="D173" s="7"/>
      <c r="E173" s="8"/>
      <c r="F173" s="8"/>
      <c r="J173" s="7">
        <f t="shared" si="39"/>
        <v>0</v>
      </c>
      <c r="M173" s="7"/>
      <c r="U173" s="7">
        <f t="shared" si="38"/>
        <v>0</v>
      </c>
      <c r="W173" s="7">
        <f t="shared" si="25"/>
        <v>0</v>
      </c>
      <c r="Y173" s="7">
        <f>SUM(T173:X173)-O173</f>
        <v>0</v>
      </c>
    </row>
    <row r="174" spans="1:28" x14ac:dyDescent="0.25">
      <c r="D174" s="7"/>
      <c r="E174" s="8"/>
      <c r="F174" s="8"/>
      <c r="J174" s="7">
        <f t="shared" si="39"/>
        <v>0</v>
      </c>
      <c r="M174" s="7"/>
      <c r="W174" s="7">
        <f t="shared" si="25"/>
        <v>0</v>
      </c>
    </row>
    <row r="175" spans="1:28" x14ac:dyDescent="0.25">
      <c r="C175" s="3" t="s">
        <v>258</v>
      </c>
      <c r="D175" s="7"/>
      <c r="E175" s="8"/>
      <c r="F175" s="8"/>
      <c r="J175" s="7" t="e">
        <f>+#REF!</f>
        <v>#REF!</v>
      </c>
      <c r="M175" s="7"/>
      <c r="W175" s="7">
        <f t="shared" ref="W175:W188" si="41">+O175</f>
        <v>0</v>
      </c>
    </row>
    <row r="176" spans="1:28" x14ac:dyDescent="0.25">
      <c r="C176" s="67" t="s">
        <v>0</v>
      </c>
      <c r="D176" s="7"/>
      <c r="E176" s="8">
        <f t="shared" ref="E176" si="42">+SUBTOTAL(9,E12:E169)</f>
        <v>-1055000</v>
      </c>
      <c r="F176" s="8">
        <f>+SUBTOTAL(9,F12:F169)</f>
        <v>170218099.70999992</v>
      </c>
      <c r="J176" s="7" t="e">
        <f>+#REF!</f>
        <v>#REF!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 t="shared" si="39"/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>
        <f>+D181</f>
        <v>0</v>
      </c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  <c r="W188" s="7">
        <f t="shared" si="41"/>
        <v>0</v>
      </c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8"/>
      <c r="F207" s="8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  <row r="209" spans="3:13" x14ac:dyDescent="0.25">
      <c r="C209" s="67"/>
      <c r="D209" s="7"/>
      <c r="E209" s="7"/>
      <c r="F209" s="7"/>
      <c r="J209" s="7"/>
      <c r="M209" s="7"/>
    </row>
  </sheetData>
  <autoFilter ref="A11:Y172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42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tabSelected="1" view="pageBreakPreview" topLeftCell="C1" zoomScaleSheetLayoutView="100" workbookViewId="0">
      <selection activeCell="J16" sqref="J16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228" t="str">
        <f>'[5] ERF-Rendimiento Financiero'!C3</f>
        <v>Estado de Rendimiento Financiero</v>
      </c>
      <c r="D1" s="228"/>
      <c r="E1" s="228"/>
      <c r="F1" s="228"/>
      <c r="G1" s="228"/>
      <c r="H1" s="228"/>
    </row>
    <row r="2" spans="1:13" ht="15" customHeight="1" x14ac:dyDescent="0.25">
      <c r="C2" s="226" t="s">
        <v>474</v>
      </c>
      <c r="D2" s="226"/>
      <c r="E2" s="226"/>
      <c r="F2" s="226"/>
      <c r="G2" s="226"/>
      <c r="H2" s="71"/>
    </row>
    <row r="3" spans="1:13" ht="15" customHeight="1" x14ac:dyDescent="0.25">
      <c r="C3" s="226" t="str">
        <f>'[5] ERF-Rendimiento Financiero'!C5</f>
        <v>(Valores en RD$)</v>
      </c>
      <c r="D3" s="226"/>
      <c r="E3" s="226"/>
      <c r="F3" s="226"/>
      <c r="G3" s="226"/>
      <c r="H3" s="226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259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260</v>
      </c>
      <c r="C7" s="69" t="s">
        <v>261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74</v>
      </c>
      <c r="C8" s="73" t="s">
        <v>262</v>
      </c>
      <c r="D8" s="73"/>
      <c r="E8" s="73"/>
      <c r="F8" s="75">
        <f>-'BC Balance Comprobación'!D41</f>
        <v>210000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76</v>
      </c>
      <c r="C9" s="73" t="s">
        <v>77</v>
      </c>
      <c r="D9" s="73"/>
      <c r="E9" s="73"/>
      <c r="F9" s="75">
        <f>-'BC Balance Comprobación'!D42</f>
        <v>14691133.66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hidden="1" x14ac:dyDescent="0.25">
      <c r="C10" s="73" t="s">
        <v>456</v>
      </c>
      <c r="D10" s="73"/>
      <c r="E10" s="73"/>
      <c r="F10" s="75">
        <f>-'BC Balance Comprobación'!D44</f>
        <v>510000</v>
      </c>
      <c r="G10" s="75"/>
      <c r="H10" s="75"/>
      <c r="K10" s="78"/>
    </row>
    <row r="11" spans="1:13" ht="15.75" x14ac:dyDescent="0.25">
      <c r="A11" s="68" t="s">
        <v>79</v>
      </c>
      <c r="C11" s="73" t="s">
        <v>453</v>
      </c>
      <c r="D11" s="73"/>
      <c r="E11" s="73"/>
      <c r="F11" s="79">
        <f>-'BC Balance Comprobación'!D43</f>
        <v>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263</v>
      </c>
      <c r="D12" s="71"/>
      <c r="E12" s="71"/>
      <c r="F12" s="80">
        <f>+F8+F9+F10+F11</f>
        <v>15411133.66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258</v>
      </c>
      <c r="D13" s="73"/>
      <c r="E13" s="73"/>
      <c r="F13" s="75"/>
      <c r="G13" s="75"/>
      <c r="H13" s="75"/>
    </row>
    <row r="14" spans="1:13" ht="15.75" x14ac:dyDescent="0.25">
      <c r="C14" s="71" t="s">
        <v>264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84</v>
      </c>
      <c r="C15" s="73" t="s">
        <v>265</v>
      </c>
      <c r="D15" s="73"/>
      <c r="E15" s="73"/>
      <c r="F15" s="214">
        <f>+'BC Balance Comprobación'!D49+'BC Balance Comprobación'!D50+'BC Balance Comprobación'!D51+'BC Balance Comprobación'!D57+'BC Balance Comprobación'!D58+'BC Balance Comprobación'!D63+'BC Balance Comprobación'!D64+'BC Balance Comprobación'!D65</f>
        <v>11372240.82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244</v>
      </c>
      <c r="C16" s="69" t="s">
        <v>467</v>
      </c>
      <c r="F16" s="214">
        <f>+'BC Balance Comprobación'!D68</f>
        <v>4840129.18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160</v>
      </c>
      <c r="C17" s="73" t="s">
        <v>266</v>
      </c>
      <c r="D17" s="73"/>
      <c r="E17" s="73"/>
      <c r="F17" s="214">
        <f>+'BC Balance Comprobación'!D112+'BC Balance Comprobación'!D113+'BC Balance Comprobación'!D114+'BC Balance Comprobación'!D115+'BC Balance Comprobación'!D116+'BC Balance Comprobación'!D117+'BC Balance Comprobación'!D119+'BC Balance Comprobación'!D120+'BC Balance Comprobación'!D121+'BC Balance Comprobación'!D122+'BC Balance Comprobación'!D124+'BC Balance Comprobación'!D125+'BC Balance Comprobación'!D126+'BC Balance Comprobación'!D127+'BC Balance Comprobación'!D128+'BC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Comprobación'!D138+'BC Balance Comprobación'!D140+'BC Balance Comprobación'!D141+'BC Balance Comprobación'!D142+'BC Balance Comprobación'!D143+'BC Balance Comprobación'!D145+'BC Balance Comprobación'!D146+'BC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Comprobación'!D159+'BC Balance Comprobación'!D160</f>
        <v>511233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468</v>
      </c>
      <c r="D18" s="73"/>
      <c r="E18" s="73"/>
      <c r="F18" s="214">
        <f>+'BC Balance Comprobación'!D167</f>
        <v>0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252</v>
      </c>
      <c r="C19" s="73" t="s">
        <v>267</v>
      </c>
      <c r="D19" s="73"/>
      <c r="E19" s="73"/>
      <c r="F19" s="79">
        <f>'BC Balance Comprobación'!D168</f>
        <v>2178537.0099999998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268</v>
      </c>
      <c r="C20" s="69" t="s">
        <v>269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108</v>
      </c>
      <c r="C21" s="73" t="s">
        <v>270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271</v>
      </c>
      <c r="C22" s="69" t="s">
        <v>272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273</v>
      </c>
      <c r="D23" s="71"/>
      <c r="E23" s="71"/>
      <c r="F23" s="81">
        <f>+F15+F16+F17+F18+F19</f>
        <v>18902140.009999998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274</v>
      </c>
      <c r="C25" s="69" t="s">
        <v>275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276</v>
      </c>
      <c r="C27" s="69" t="s">
        <v>277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278</v>
      </c>
      <c r="D29" s="73"/>
      <c r="E29" s="73"/>
      <c r="F29" s="88">
        <f>F12-F23</f>
        <v>-3491006.3499999978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279</v>
      </c>
      <c r="C32" s="69" t="s">
        <v>280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281</v>
      </c>
      <c r="C33" s="69" t="s">
        <v>282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229"/>
      <c r="D36" s="229"/>
      <c r="E36" s="229"/>
      <c r="F36" s="229"/>
      <c r="G36" s="229"/>
      <c r="H36" s="229"/>
    </row>
    <row r="37" spans="1:11" ht="15.75" hidden="1" x14ac:dyDescent="0.25">
      <c r="C37" s="73" t="s">
        <v>283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230" t="s">
        <v>284</v>
      </c>
      <c r="D43" s="230"/>
      <c r="E43" s="230"/>
      <c r="F43" s="230"/>
      <c r="G43" s="230"/>
      <c r="H43" s="230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230"/>
      <c r="D46" s="230"/>
      <c r="E46" s="230"/>
      <c r="F46" s="230"/>
      <c r="G46" s="230"/>
      <c r="H46" s="94"/>
    </row>
    <row r="47" spans="1:11" ht="18.75" x14ac:dyDescent="0.25">
      <c r="C47" s="226" t="s">
        <v>285</v>
      </c>
      <c r="D47" s="226"/>
      <c r="E47" s="226"/>
      <c r="F47" s="226"/>
      <c r="G47" s="71"/>
      <c r="H47" s="93"/>
    </row>
    <row r="48" spans="1:11" x14ac:dyDescent="0.25">
      <c r="C48" s="227" t="s">
        <v>286</v>
      </c>
      <c r="D48" s="227"/>
      <c r="E48" s="227"/>
      <c r="F48" s="227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topLeftCell="A3" zoomScale="75" zoomScaleSheetLayoutView="75" workbookViewId="0">
      <selection activeCell="H24" sqref="H24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233"/>
      <c r="C2" s="233"/>
      <c r="D2" s="233"/>
      <c r="E2" s="233"/>
      <c r="F2" s="233"/>
      <c r="G2" s="233"/>
      <c r="H2" s="233"/>
    </row>
    <row r="3" spans="1:13" ht="18.75" x14ac:dyDescent="0.25">
      <c r="B3" s="233" t="s">
        <v>337</v>
      </c>
      <c r="C3" s="233"/>
      <c r="D3" s="233"/>
      <c r="E3" s="233"/>
      <c r="F3" s="233"/>
      <c r="G3" s="233"/>
      <c r="H3" s="233"/>
    </row>
    <row r="4" spans="1:13" ht="18.75" x14ac:dyDescent="0.25">
      <c r="B4" s="233" t="s">
        <v>474</v>
      </c>
      <c r="C4" s="233"/>
      <c r="D4" s="233"/>
      <c r="E4" s="233"/>
      <c r="F4" s="233"/>
      <c r="G4" s="233"/>
      <c r="H4" s="233"/>
    </row>
    <row r="5" spans="1:13" ht="18.75" x14ac:dyDescent="0.25">
      <c r="B5" s="233" t="s">
        <v>7</v>
      </c>
      <c r="C5" s="233"/>
      <c r="D5" s="233"/>
      <c r="E5" s="233"/>
      <c r="F5" s="233"/>
      <c r="G5" s="233"/>
      <c r="H5" s="233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338</v>
      </c>
      <c r="E7" s="156" t="s">
        <v>339</v>
      </c>
      <c r="F7" s="156" t="s">
        <v>340</v>
      </c>
      <c r="G7" s="156" t="s">
        <v>341</v>
      </c>
      <c r="H7" s="156" t="s">
        <v>342</v>
      </c>
    </row>
    <row r="8" spans="1:13" ht="18.75" x14ac:dyDescent="0.3">
      <c r="B8" s="93"/>
      <c r="C8" s="164" t="s">
        <v>476</v>
      </c>
      <c r="D8" s="218">
        <v>51695326</v>
      </c>
      <c r="E8" s="212">
        <v>0</v>
      </c>
      <c r="F8" s="212">
        <v>0</v>
      </c>
      <c r="G8" s="218">
        <v>16599055</v>
      </c>
      <c r="H8" s="218">
        <f>+D8+G8</f>
        <v>68294381</v>
      </c>
      <c r="I8" s="78"/>
    </row>
    <row r="9" spans="1:13" customFormat="1" ht="18.75" x14ac:dyDescent="0.3">
      <c r="A9" s="107"/>
      <c r="B9" s="113"/>
      <c r="C9" s="155" t="s">
        <v>343</v>
      </c>
      <c r="D9" s="211"/>
      <c r="E9" s="211">
        <v>0</v>
      </c>
      <c r="F9" s="211"/>
      <c r="G9" s="211"/>
      <c r="H9" s="211">
        <f>SUM(D9,E9,F9,G9)</f>
        <v>0</v>
      </c>
      <c r="I9" s="107"/>
    </row>
    <row r="10" spans="1:13" customFormat="1" ht="18.75" x14ac:dyDescent="0.3">
      <c r="A10" s="107"/>
      <c r="B10" s="113"/>
      <c r="C10" s="155" t="s">
        <v>344</v>
      </c>
      <c r="D10" s="211"/>
      <c r="E10" s="211"/>
      <c r="F10" s="211" t="s">
        <v>258</v>
      </c>
      <c r="G10" s="211"/>
      <c r="H10" s="211"/>
      <c r="I10" s="107"/>
    </row>
    <row r="11" spans="1:13" ht="18.75" x14ac:dyDescent="0.3">
      <c r="B11" s="93"/>
      <c r="C11" s="155" t="s">
        <v>345</v>
      </c>
      <c r="D11" s="210"/>
      <c r="E11" s="211"/>
      <c r="F11" s="211"/>
      <c r="G11" s="219">
        <v>27966261</v>
      </c>
      <c r="H11" s="219">
        <v>27966261</v>
      </c>
      <c r="I11" s="78"/>
      <c r="J11" s="124"/>
    </row>
    <row r="12" spans="1:13" ht="18.75" x14ac:dyDescent="0.3">
      <c r="B12" s="93"/>
      <c r="C12" s="155" t="s">
        <v>71</v>
      </c>
      <c r="D12" s="210"/>
      <c r="E12" s="211"/>
      <c r="F12" s="211"/>
      <c r="G12" s="219">
        <v>6025026</v>
      </c>
      <c r="H12" s="219">
        <v>6025026</v>
      </c>
      <c r="I12" s="78"/>
    </row>
    <row r="13" spans="1:13" ht="18.75" x14ac:dyDescent="0.3">
      <c r="B13" s="93"/>
      <c r="C13" s="164" t="s">
        <v>475</v>
      </c>
      <c r="D13" s="218">
        <f>SUM(D8:D12)</f>
        <v>51695326</v>
      </c>
      <c r="E13" s="212">
        <f>SUM(E8:E12)</f>
        <v>0</v>
      </c>
      <c r="F13" s="212">
        <f>SUM(F8:F12)</f>
        <v>0</v>
      </c>
      <c r="G13" s="218">
        <f>SUM(G8:G12)</f>
        <v>50590342</v>
      </c>
      <c r="H13" s="218">
        <f>SUM(H8:H12)</f>
        <v>102285668</v>
      </c>
      <c r="I13" s="78"/>
      <c r="K13" s="124"/>
      <c r="M13" s="124"/>
    </row>
    <row r="14" spans="1:13" ht="18.75" hidden="1" x14ac:dyDescent="0.3">
      <c r="B14" s="93"/>
      <c r="C14" s="157" t="s">
        <v>258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343</v>
      </c>
      <c r="D15" s="211"/>
      <c r="E15" s="211">
        <v>0</v>
      </c>
      <c r="F15" s="211"/>
      <c r="G15" s="211"/>
      <c r="H15" s="211">
        <f>SUM(D15,E15,F15,G15)</f>
        <v>0</v>
      </c>
      <c r="I15" s="107"/>
      <c r="K15" s="126"/>
      <c r="M15" s="126"/>
    </row>
    <row r="16" spans="1:13" customFormat="1" ht="37.5" x14ac:dyDescent="0.3">
      <c r="A16" s="107"/>
      <c r="B16" s="113"/>
      <c r="C16" s="161" t="s">
        <v>344</v>
      </c>
      <c r="D16" s="211"/>
      <c r="E16" s="211"/>
      <c r="F16" s="211">
        <v>0</v>
      </c>
      <c r="G16" s="211"/>
      <c r="H16" s="211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346</v>
      </c>
      <c r="D17" s="211"/>
      <c r="E17" s="211"/>
      <c r="F17" s="211">
        <v>0</v>
      </c>
      <c r="G17" s="211"/>
      <c r="H17" s="211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345</v>
      </c>
      <c r="D18" s="211"/>
      <c r="E18" s="211"/>
      <c r="F18" s="211"/>
      <c r="G18" s="219">
        <v>-1330729.380000025</v>
      </c>
      <c r="H18" s="219">
        <v>-1330729.380000025</v>
      </c>
      <c r="I18" s="78"/>
      <c r="J18" s="117"/>
      <c r="K18" s="124"/>
      <c r="N18" s="163"/>
    </row>
    <row r="19" spans="1:14" ht="18.75" x14ac:dyDescent="0.3">
      <c r="B19" s="93"/>
      <c r="C19" s="161" t="s">
        <v>71</v>
      </c>
      <c r="D19" s="211"/>
      <c r="E19" s="211"/>
      <c r="F19" s="211"/>
      <c r="G19" s="219">
        <f>+' ERF-Rendimiento Financiero'!F29</f>
        <v>-3491006.3499999978</v>
      </c>
      <c r="H19" s="219">
        <f>SUM(D19,E19,F19,G19)</f>
        <v>-3491006.3499999978</v>
      </c>
      <c r="I19" s="154"/>
      <c r="J19" s="117"/>
      <c r="K19" s="163"/>
      <c r="L19" s="163"/>
    </row>
    <row r="20" spans="1:14" ht="18.75" x14ac:dyDescent="0.25">
      <c r="B20" s="95"/>
      <c r="C20" s="164" t="s">
        <v>472</v>
      </c>
      <c r="D20" s="218">
        <f>D14+D18</f>
        <v>51695326</v>
      </c>
      <c r="E20" s="213">
        <f>SUM(E19,E13)</f>
        <v>0</v>
      </c>
      <c r="F20" s="213">
        <f>SUM(F19,F13)</f>
        <v>0</v>
      </c>
      <c r="G20" s="218">
        <f>G13+G15+G16+G17+G18+G19</f>
        <v>45768606.269999981</v>
      </c>
      <c r="H20" s="218">
        <f>H13+H15+H16+H17+H18+H19</f>
        <v>97463932.269999981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347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232" t="s">
        <v>284</v>
      </c>
      <c r="D26" s="232"/>
      <c r="E26" s="232"/>
      <c r="F26" s="232"/>
      <c r="G26" s="232"/>
      <c r="H26" s="232"/>
    </row>
    <row r="27" spans="1:14" ht="18.75" x14ac:dyDescent="0.25">
      <c r="A27" s="233" t="s">
        <v>285</v>
      </c>
      <c r="B27" s="233"/>
      <c r="C27" s="233"/>
      <c r="D27" s="233"/>
      <c r="E27" s="233"/>
      <c r="F27" s="233"/>
      <c r="G27" s="233"/>
      <c r="H27" s="233"/>
      <c r="I27" s="233"/>
    </row>
    <row r="28" spans="1:14" ht="18.75" x14ac:dyDescent="0.25">
      <c r="A28" s="231" t="s">
        <v>286</v>
      </c>
      <c r="B28" s="231"/>
      <c r="C28" s="231"/>
      <c r="D28" s="231"/>
      <c r="E28" s="231"/>
      <c r="F28" s="231"/>
      <c r="G28" s="231"/>
      <c r="H28" s="231"/>
      <c r="I28" s="231"/>
    </row>
    <row r="29" spans="1:14" ht="18.75" hidden="1" x14ac:dyDescent="0.3">
      <c r="B29" s="93"/>
      <c r="C29" s="232" t="s">
        <v>348</v>
      </c>
      <c r="D29" s="232"/>
      <c r="E29" s="113"/>
      <c r="F29" s="113"/>
      <c r="G29" s="232" t="s">
        <v>349</v>
      </c>
      <c r="H29" s="232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view="pageBreakPreview" topLeftCell="A15" zoomScale="60" workbookViewId="0">
      <selection activeCell="S14" sqref="S14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235" t="str">
        <f>'[6]Flujo de Efectivo'!A2</f>
        <v>Estado de Flujo de Efectivo</v>
      </c>
      <c r="B1" s="233"/>
      <c r="C1" s="235"/>
      <c r="D1" s="233"/>
      <c r="E1" s="233"/>
      <c r="F1" s="93"/>
    </row>
    <row r="2" spans="1:17" x14ac:dyDescent="0.3">
      <c r="A2" s="235" t="s">
        <v>477</v>
      </c>
      <c r="B2" s="233"/>
      <c r="C2" s="235"/>
      <c r="D2" s="233"/>
      <c r="E2" s="233"/>
      <c r="F2" s="93"/>
    </row>
    <row r="3" spans="1:17" x14ac:dyDescent="0.3">
      <c r="A3" s="235" t="str">
        <f>'[6]Flujo de Efectivo'!A4</f>
        <v>(Valores en RD$)</v>
      </c>
      <c r="B3" s="233"/>
      <c r="C3" s="235"/>
      <c r="D3" s="233"/>
      <c r="E3" s="233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287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288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289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290</v>
      </c>
      <c r="B9" s="108"/>
      <c r="C9" s="108">
        <f>' ERF-Rendimiento Financiero'!F8</f>
        <v>210000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210000</v>
      </c>
      <c r="I9" s="114">
        <f>-'[7]BC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291</v>
      </c>
      <c r="B10" s="109"/>
      <c r="C10" s="109">
        <f>' ERF-Rendimiento Financiero'!F9+' ERF-Rendimiento Financiero'!F11</f>
        <v>14691133.66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14691133.66</v>
      </c>
      <c r="I10" s="114">
        <f>-'[7]BC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95355215.319999993</v>
      </c>
      <c r="O10" s="118">
        <f>+O8-O9</f>
        <v>1593316.0700000077</v>
      </c>
      <c r="P10" s="118"/>
    </row>
    <row r="11" spans="1:17" customFormat="1" hidden="1" x14ac:dyDescent="0.25">
      <c r="A11" s="105" t="s">
        <v>292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293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294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-86085858.24000001</v>
      </c>
    </row>
    <row r="14" spans="1:17" customFormat="1" x14ac:dyDescent="0.3">
      <c r="A14" s="111" t="s">
        <v>295</v>
      </c>
      <c r="B14" s="120"/>
      <c r="C14" s="109">
        <f>-'BC Balance Comprobación'!D44</f>
        <v>510000</v>
      </c>
      <c r="D14" s="121"/>
      <c r="E14" s="108">
        <f>'[2]BC Balance Comprobación'!M39</f>
        <v>0</v>
      </c>
      <c r="F14" s="113"/>
      <c r="G14" s="106"/>
      <c r="H14" s="106">
        <f t="shared" si="0"/>
        <v>510000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11827618.649999991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296</v>
      </c>
      <c r="B16" s="105">
        <v>0</v>
      </c>
      <c r="C16" s="96">
        <f>-'BC Balance Comprobación'!D167</f>
        <v>0</v>
      </c>
      <c r="D16" s="106"/>
      <c r="E16" s="106">
        <v>0</v>
      </c>
      <c r="F16" s="107"/>
      <c r="G16" s="108"/>
      <c r="H16" s="106">
        <f t="shared" ref="H16:H23" si="1">+C16+E16</f>
        <v>0</v>
      </c>
      <c r="I16" s="114"/>
      <c r="J16" s="107"/>
      <c r="P16" s="115"/>
    </row>
    <row r="17" spans="1:21" x14ac:dyDescent="0.3">
      <c r="A17" s="111" t="s">
        <v>297</v>
      </c>
      <c r="B17" s="96"/>
      <c r="C17" s="96">
        <f>-'BC Balance Comprobación'!D49-'BC Balance Comprobación'!D50-'BC Balance Comprobación'!D51-'BC Balance Comprobación'!D57-'BC Balance Comprobación'!D58</f>
        <v>-11372240.82</v>
      </c>
      <c r="D17" s="123"/>
      <c r="E17" s="96">
        <v>-83368429</v>
      </c>
      <c r="F17" s="93"/>
      <c r="G17" s="108">
        <v>-5376484.4800000004</v>
      </c>
      <c r="H17" s="78">
        <f t="shared" si="1"/>
        <v>-94740669.819999993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-52755198.880000003</v>
      </c>
      <c r="Q17" s="124"/>
      <c r="R17" s="117"/>
      <c r="S17" s="117"/>
    </row>
    <row r="18" spans="1:21" customFormat="1" x14ac:dyDescent="0.3">
      <c r="A18" s="111" t="s">
        <v>298</v>
      </c>
      <c r="B18" s="108"/>
      <c r="C18" s="108">
        <f>-'BC Balance Comprobación'!D63-'BC Balance Comprobación'!D64-'BC Balance Comprobación'!D65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299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300</v>
      </c>
      <c r="B20" s="96"/>
      <c r="C20" s="108">
        <f>-'BC Balance Comprobación'!D68-'BC Balance Comprobación'!D112+545982.69</f>
        <v>-4805379.49</v>
      </c>
      <c r="D20" s="123"/>
      <c r="E20" s="96">
        <v>-60758429</v>
      </c>
      <c r="F20" s="93"/>
      <c r="G20" s="106">
        <v>-65427</v>
      </c>
      <c r="H20" s="78">
        <f t="shared" si="1"/>
        <v>-65563808.490000002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-28872265.970000003</v>
      </c>
      <c r="P20" s="124"/>
      <c r="R20" s="124"/>
    </row>
    <row r="21" spans="1:21" customFormat="1" hidden="1" x14ac:dyDescent="0.25">
      <c r="A21" s="105" t="s">
        <v>301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302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303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304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305</v>
      </c>
      <c r="B26" s="123"/>
      <c r="C26" s="123">
        <f>SUBTOTAL(9,C9:C25)</f>
        <v>-766486.65000000037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-162393156.65000001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258</v>
      </c>
      <c r="B27" s="96"/>
      <c r="C27" s="96"/>
      <c r="D27" s="123"/>
      <c r="E27" s="96"/>
      <c r="F27" s="93"/>
      <c r="G27" s="108"/>
      <c r="H27" s="69" t="s">
        <v>306</v>
      </c>
      <c r="I27" s="114"/>
      <c r="J27" s="129"/>
      <c r="P27" s="124"/>
      <c r="Q27" s="118"/>
    </row>
    <row r="28" spans="1:21" x14ac:dyDescent="0.25">
      <c r="A28" s="95" t="s">
        <v>307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308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309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310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311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312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295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313</v>
      </c>
      <c r="B36" s="96"/>
      <c r="C36" s="96"/>
      <c r="D36" s="123"/>
      <c r="E36" s="96">
        <v>-12714328.18</v>
      </c>
      <c r="F36" s="93"/>
      <c r="H36" s="78">
        <f t="shared" ref="H36:H42" si="3">+C36+E36</f>
        <v>-12714328.18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314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315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316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317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318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319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320</v>
      </c>
      <c r="B44" s="123"/>
      <c r="C44" s="123">
        <f>SUM(C29:C43)</f>
        <v>0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321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322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323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324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325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295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326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327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328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329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330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319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331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306</v>
      </c>
      <c r="I60" s="106"/>
      <c r="J60" s="107"/>
      <c r="R60" s="115"/>
    </row>
    <row r="61" spans="1:21" x14ac:dyDescent="0.25">
      <c r="A61" s="93" t="s">
        <v>332</v>
      </c>
      <c r="B61" s="96"/>
      <c r="C61" s="96">
        <f>+C26+C44+C59</f>
        <v>-766486.65000000037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-173438090.83000001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333</v>
      </c>
      <c r="B62" s="141"/>
      <c r="C62" s="141">
        <v>24101120</v>
      </c>
      <c r="D62" s="150"/>
      <c r="E62" s="141">
        <v>5853191.9199999999</v>
      </c>
      <c r="F62" s="93"/>
      <c r="G62" s="141">
        <v>20979065.719999999</v>
      </c>
      <c r="H62" s="78">
        <f>+C62+E62</f>
        <v>29954311.920000002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334</v>
      </c>
      <c r="B63" s="151"/>
      <c r="C63" s="151">
        <f>SUM(C61:C62)</f>
        <v>23334633.350000001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-143483778.91000003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  <c r="P64" s="117"/>
    </row>
    <row r="65" spans="1:16" x14ac:dyDescent="0.25">
      <c r="B65" s="93"/>
      <c r="C65" s="103"/>
      <c r="D65" s="103"/>
      <c r="E65" s="103"/>
      <c r="F65" s="93"/>
      <c r="G65" s="106"/>
      <c r="H65" s="69" t="s">
        <v>306</v>
      </c>
      <c r="I65" s="78"/>
      <c r="P65" s="118"/>
    </row>
    <row r="66" spans="1:16" ht="21" hidden="1" x14ac:dyDescent="0.25">
      <c r="A66" s="152" t="s">
        <v>283</v>
      </c>
      <c r="B66" s="152"/>
      <c r="C66" s="96"/>
      <c r="D66" s="93"/>
      <c r="E66" s="96"/>
      <c r="F66" s="93"/>
      <c r="G66" s="141" t="s">
        <v>335</v>
      </c>
      <c r="M66" s="124">
        <f>+K62-J63</f>
        <v>0.14100000262260437</v>
      </c>
    </row>
    <row r="67" spans="1:16" x14ac:dyDescent="0.25">
      <c r="A67" s="233" t="s">
        <v>285</v>
      </c>
      <c r="B67" s="233"/>
      <c r="C67" s="233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231" t="s">
        <v>286</v>
      </c>
      <c r="B68" s="231"/>
      <c r="C68" s="231"/>
      <c r="D68" s="93"/>
      <c r="E68" s="93"/>
      <c r="F68" s="93"/>
      <c r="I68" s="82"/>
    </row>
    <row r="69" spans="1:16" hidden="1" x14ac:dyDescent="0.25">
      <c r="A69" s="232" t="s">
        <v>336</v>
      </c>
      <c r="B69" s="232"/>
      <c r="C69" s="232"/>
      <c r="D69" s="232"/>
      <c r="E69" s="232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234"/>
      <c r="B72" s="232"/>
      <c r="C72" s="234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0A58-FFBE-434C-ADA6-917BF7E95541}">
  <sheetPr filterMode="1"/>
  <dimension ref="A1:T84"/>
  <sheetViews>
    <sheetView view="pageBreakPreview" topLeftCell="B39" zoomScaleSheetLayoutView="100" workbookViewId="0">
      <selection activeCell="T73" sqref="T73"/>
    </sheetView>
  </sheetViews>
  <sheetFormatPr baseColWidth="10" defaultColWidth="11.42578125" defaultRowHeight="15" x14ac:dyDescent="0.25"/>
  <cols>
    <col min="1" max="1" width="7.5703125" style="68" hidden="1" customWidth="1"/>
    <col min="2" max="2" width="61.28515625" style="69" customWidth="1"/>
    <col min="3" max="3" width="20.140625" style="69" hidden="1" customWidth="1"/>
    <col min="4" max="4" width="13.7109375" style="69" hidden="1" customWidth="1"/>
    <col min="5" max="5" width="4" style="69" hidden="1" customWidth="1"/>
    <col min="6" max="6" width="26.5703125" style="69" customWidth="1"/>
    <col min="7" max="7" width="4.42578125" style="69" hidden="1" customWidth="1"/>
    <col min="8" max="8" width="1.85546875" style="69" hidden="1" customWidth="1"/>
    <col min="9" max="9" width="19.140625" style="69" hidden="1" customWidth="1"/>
    <col min="10" max="10" width="88" style="69" hidden="1" customWidth="1"/>
    <col min="11" max="11" width="87.42578125" style="69" hidden="1" customWidth="1"/>
    <col min="12" max="12" width="15.28515625" style="69" hidden="1" customWidth="1"/>
    <col min="13" max="13" width="16.5703125" style="69" bestFit="1" customWidth="1"/>
    <col min="14" max="14" width="14" style="69" hidden="1" customWidth="1"/>
    <col min="15" max="15" width="19.7109375" style="69" hidden="1" customWidth="1"/>
    <col min="16" max="16" width="0" style="69" hidden="1" customWidth="1"/>
    <col min="17" max="17" width="15.140625" style="70" hidden="1" customWidth="1"/>
    <col min="18" max="18" width="0" style="70" hidden="1" customWidth="1"/>
    <col min="19" max="19" width="23.5703125" style="70" customWidth="1"/>
    <col min="20" max="20" width="13.42578125" style="70" bestFit="1" customWidth="1"/>
    <col min="21" max="16384" width="11.42578125" style="70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70"/>
      <c r="C8" s="70"/>
      <c r="D8" s="70"/>
      <c r="E8" s="70"/>
      <c r="F8" s="70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236" t="s">
        <v>350</v>
      </c>
      <c r="C15" s="235"/>
      <c r="D15" s="235"/>
      <c r="E15" s="235"/>
      <c r="F15" s="236"/>
      <c r="G15" s="165"/>
      <c r="H15" s="165"/>
      <c r="I15" s="165"/>
    </row>
    <row r="16" spans="2:9" ht="18.75" x14ac:dyDescent="0.25">
      <c r="B16" s="237" t="s">
        <v>474</v>
      </c>
      <c r="C16" s="233"/>
      <c r="D16" s="233"/>
      <c r="E16" s="233"/>
      <c r="F16" s="237"/>
      <c r="G16" s="165"/>
      <c r="H16" s="165"/>
      <c r="I16" s="165"/>
    </row>
    <row r="17" spans="1:19" ht="18.75" x14ac:dyDescent="0.25">
      <c r="B17" s="237" t="s">
        <v>7</v>
      </c>
      <c r="C17" s="233"/>
      <c r="D17" s="233"/>
      <c r="E17" s="233"/>
      <c r="F17" s="237"/>
      <c r="G17" s="165"/>
      <c r="H17" s="165"/>
      <c r="I17" s="165"/>
    </row>
    <row r="18" spans="1:19" ht="15.75" customHeight="1" x14ac:dyDescent="0.25">
      <c r="B18" s="201"/>
      <c r="C18" s="72"/>
      <c r="D18" s="72"/>
      <c r="E18" s="72"/>
      <c r="G18" s="73"/>
      <c r="H18" s="73"/>
      <c r="I18" s="73"/>
    </row>
    <row r="19" spans="1:19" ht="15.75" x14ac:dyDescent="0.25">
      <c r="C19" s="75"/>
      <c r="D19" s="73"/>
      <c r="E19" s="73"/>
      <c r="F19" s="203"/>
      <c r="G19" s="165"/>
      <c r="H19" s="166">
        <f>+'[2]BC Balance Comprobación'!F11</f>
        <v>2021</v>
      </c>
      <c r="I19" s="166"/>
    </row>
    <row r="20" spans="1:19" ht="15.75" x14ac:dyDescent="0.25">
      <c r="A20" s="68" t="s">
        <v>18</v>
      </c>
      <c r="B20" s="202" t="s">
        <v>351</v>
      </c>
      <c r="C20" s="75"/>
      <c r="D20" s="167"/>
      <c r="E20" s="167"/>
      <c r="F20" s="204"/>
      <c r="G20" s="77"/>
      <c r="H20" s="77"/>
      <c r="I20" s="77"/>
    </row>
    <row r="21" spans="1:19" ht="15.75" x14ac:dyDescent="0.25">
      <c r="B21" s="202" t="s">
        <v>352</v>
      </c>
      <c r="C21" s="81"/>
      <c r="D21" s="167"/>
      <c r="E21" s="167"/>
      <c r="F21" s="180"/>
      <c r="G21" s="77"/>
      <c r="H21" s="77"/>
      <c r="I21" s="77"/>
    </row>
    <row r="22" spans="1:19" ht="15.75" x14ac:dyDescent="0.25">
      <c r="A22" s="68" t="s">
        <v>40</v>
      </c>
      <c r="B22" s="69" t="s">
        <v>353</v>
      </c>
      <c r="C22" s="75"/>
      <c r="D22" s="75"/>
      <c r="E22" s="75"/>
      <c r="F22" s="78">
        <f>'EFE-Flujo de Efectivo'!C63</f>
        <v>23334633.350000001</v>
      </c>
      <c r="G22" s="83"/>
      <c r="H22" s="75"/>
      <c r="I22" s="75">
        <v>23411067</v>
      </c>
      <c r="J22" s="78">
        <f>F22-I22</f>
        <v>-76433.64999999851</v>
      </c>
      <c r="K22" s="78"/>
      <c r="L22" s="78">
        <f t="shared" ref="L22:L29" si="0">+F22+H22</f>
        <v>23334633.350000001</v>
      </c>
      <c r="M22" s="78"/>
      <c r="N22" s="85"/>
      <c r="S22" s="124"/>
    </row>
    <row r="23" spans="1:19" customFormat="1" ht="15.75" hidden="1" x14ac:dyDescent="0.25">
      <c r="A23" s="168" t="s">
        <v>354</v>
      </c>
      <c r="B23" s="69" t="s">
        <v>355</v>
      </c>
      <c r="C23" s="75">
        <v>3597453</v>
      </c>
      <c r="D23" s="69"/>
      <c r="E23" s="69"/>
      <c r="F23" s="106" t="e">
        <f>+SUMIF('[2]BC Balance Comprobación'!A:A,'ESF - Situación Financiera'!A23,'[2]BC Balance Comprobación'!D:D)</f>
        <v>#VALUE!</v>
      </c>
      <c r="G23" s="169"/>
      <c r="H23" s="106" t="e">
        <f>+SUMIF('[2]BC Balance Comprobación'!A:A,'ESF - Situación Financiera'!A23,'[2]BC Balance Comprobación'!F:F)</f>
        <v>#VALUE!</v>
      </c>
      <c r="I23" s="106"/>
      <c r="J23" s="107"/>
      <c r="K23" s="107"/>
      <c r="L23" s="106" t="e">
        <f t="shared" si="0"/>
        <v>#VALUE!</v>
      </c>
      <c r="M23" s="107"/>
      <c r="N23" s="170"/>
      <c r="O23" s="107"/>
      <c r="P23" s="107"/>
    </row>
    <row r="24" spans="1:19" customFormat="1" ht="15.75" hidden="1" x14ac:dyDescent="0.25">
      <c r="A24" s="168" t="s">
        <v>356</v>
      </c>
      <c r="B24" s="69" t="s">
        <v>357</v>
      </c>
      <c r="C24" s="75">
        <v>31209265.759999998</v>
      </c>
      <c r="D24" s="69"/>
      <c r="E24" s="69"/>
      <c r="F24" s="106" t="e">
        <f>+SUMIF('[2]BC Balance Comprobación'!A:A,'ESF - Situación Financiera'!A24,'[2]BC Balance Comprobación'!D:D)</f>
        <v>#VALUE!</v>
      </c>
      <c r="G24" s="169"/>
      <c r="H24" s="106" t="e">
        <f>+SUMIF('[2]BC Balance Comprobación'!A:A,'ESF - Situación Financiera'!A24,'[2]BC Balance Comprobación'!F:F)</f>
        <v>#VALUE!</v>
      </c>
      <c r="I24" s="106"/>
      <c r="J24" s="107"/>
      <c r="K24" s="107"/>
      <c r="L24" s="106" t="e">
        <f t="shared" si="0"/>
        <v>#VALUE!</v>
      </c>
      <c r="M24" s="107"/>
      <c r="N24" s="170"/>
      <c r="O24" s="107"/>
      <c r="P24" s="107"/>
    </row>
    <row r="25" spans="1:19" customFormat="1" ht="15.75" hidden="1" x14ac:dyDescent="0.25">
      <c r="A25" s="168" t="s">
        <v>46</v>
      </c>
      <c r="B25" s="69" t="s">
        <v>358</v>
      </c>
      <c r="C25" s="81"/>
      <c r="D25" s="69"/>
      <c r="E25" s="69"/>
      <c r="F25" s="106"/>
      <c r="G25" s="169"/>
      <c r="H25" s="106" t="e">
        <f>+SUMIF('[2]BC Balance Comprobación'!A:A,'ESF - Situación Financiera'!A25,'[2]BC Balance Comprobación'!F:F)</f>
        <v>#VALUE!</v>
      </c>
      <c r="I25" s="106"/>
      <c r="J25" s="107"/>
      <c r="K25" s="107"/>
      <c r="L25" s="106" t="e">
        <f t="shared" si="0"/>
        <v>#VALUE!</v>
      </c>
      <c r="M25" s="107"/>
      <c r="N25" s="170"/>
      <c r="O25" s="107"/>
      <c r="P25" s="107"/>
    </row>
    <row r="26" spans="1:19" ht="15.75" x14ac:dyDescent="0.25">
      <c r="A26" s="68" t="s">
        <v>48</v>
      </c>
      <c r="B26" s="69" t="s">
        <v>359</v>
      </c>
      <c r="C26" s="79"/>
      <c r="D26" s="75"/>
      <c r="E26" s="75"/>
      <c r="F26" s="215">
        <f>'BC Balance Comprobación'!D23</f>
        <v>3081292.04</v>
      </c>
      <c r="G26" s="83"/>
      <c r="H26" s="75"/>
      <c r="I26" s="75">
        <v>2361505</v>
      </c>
      <c r="J26" s="78">
        <f>F26-I26</f>
        <v>719787.04</v>
      </c>
      <c r="K26" s="78"/>
      <c r="L26" s="78">
        <f t="shared" si="0"/>
        <v>3081292.04</v>
      </c>
      <c r="M26" s="78"/>
      <c r="N26" s="85"/>
      <c r="O26" s="154"/>
      <c r="S26" s="124"/>
    </row>
    <row r="27" spans="1:19" customFormat="1" ht="16.5" thickBot="1" x14ac:dyDescent="0.3">
      <c r="A27" s="168" t="s">
        <v>51</v>
      </c>
      <c r="B27" s="69" t="s">
        <v>470</v>
      </c>
      <c r="C27" s="88">
        <v>71924132.75</v>
      </c>
      <c r="D27" s="69"/>
      <c r="E27" s="69"/>
      <c r="F27" s="89"/>
      <c r="G27" s="169"/>
      <c r="H27" s="106" t="e">
        <f>+SUMIF('[2]BC Balance Comprobación'!A:A,'ESF - Situación Financiera'!A27,'[2]BC Balance Comprobación'!F:F)</f>
        <v>#VALUE!</v>
      </c>
      <c r="I27" s="106"/>
      <c r="J27" s="171" t="s">
        <v>360</v>
      </c>
      <c r="K27" s="107"/>
      <c r="L27" s="106" t="e">
        <f t="shared" si="0"/>
        <v>#VALUE!</v>
      </c>
      <c r="M27" s="78"/>
      <c r="N27" s="170"/>
      <c r="O27" s="107"/>
      <c r="P27" s="107"/>
    </row>
    <row r="28" spans="1:19" customFormat="1" ht="16.5" hidden="1" thickTop="1" x14ac:dyDescent="0.25">
      <c r="A28" s="168" t="s">
        <v>361</v>
      </c>
      <c r="B28" s="69" t="s">
        <v>362</v>
      </c>
      <c r="C28" s="75">
        <v>71924132.75</v>
      </c>
      <c r="D28" s="69"/>
      <c r="E28" s="69"/>
      <c r="F28" s="172" t="e">
        <f>+SUMIF('[2]BC Balance Comprobación'!A:A,'ESF - Situación Financiera'!A28,'[2]BC Balance Comprobación'!D:D)</f>
        <v>#VALUE!</v>
      </c>
      <c r="G28" s="169"/>
      <c r="H28" s="106" t="e">
        <f>+SUMIF('[2]BC Balance Comprobación'!A:A,'ESF - Situación Financiera'!A28,'[2]BC Balance Comprobación'!F:F)</f>
        <v>#VALUE!</v>
      </c>
      <c r="I28" s="106"/>
      <c r="J28" s="107"/>
      <c r="K28" s="107"/>
      <c r="L28" s="106" t="e">
        <f t="shared" si="0"/>
        <v>#VALUE!</v>
      </c>
      <c r="M28" s="107"/>
      <c r="N28" s="170"/>
      <c r="O28" s="107"/>
      <c r="P28" s="107"/>
    </row>
    <row r="29" spans="1:19" ht="17.25" thickTop="1" thickBot="1" x14ac:dyDescent="0.3">
      <c r="B29" s="205" t="s">
        <v>363</v>
      </c>
      <c r="C29" s="80">
        <f>C22+C26</f>
        <v>0</v>
      </c>
      <c r="D29" s="81"/>
      <c r="E29" s="81"/>
      <c r="F29" s="216">
        <f>+F22+F26+F27</f>
        <v>26415925.390000001</v>
      </c>
      <c r="G29" s="81"/>
      <c r="H29" s="81"/>
      <c r="I29" s="80">
        <f>I22+I26</f>
        <v>25772572</v>
      </c>
      <c r="J29" s="78">
        <f>F29-I29</f>
        <v>643353.3900000006</v>
      </c>
      <c r="K29" s="82"/>
      <c r="L29" s="78">
        <f t="shared" si="0"/>
        <v>26415925.390000001</v>
      </c>
      <c r="M29" s="78"/>
      <c r="N29" s="85"/>
      <c r="S29" s="124"/>
    </row>
    <row r="30" spans="1:19" ht="15.75" x14ac:dyDescent="0.25">
      <c r="C30" s="81"/>
      <c r="D30" s="81"/>
      <c r="E30" s="81"/>
      <c r="F30" s="91"/>
      <c r="G30" s="83"/>
      <c r="H30" s="81"/>
      <c r="I30" s="81"/>
      <c r="J30" s="78">
        <f>F30-I30</f>
        <v>0</v>
      </c>
      <c r="K30" s="78"/>
      <c r="L30" s="78"/>
      <c r="N30" s="85"/>
    </row>
    <row r="31" spans="1:19" ht="15.75" x14ac:dyDescent="0.25">
      <c r="B31" s="205" t="s">
        <v>364</v>
      </c>
      <c r="C31" s="75"/>
      <c r="D31" s="75"/>
      <c r="E31" s="75"/>
      <c r="F31" s="78"/>
      <c r="G31" s="75"/>
      <c r="H31" s="75"/>
      <c r="I31" s="75"/>
      <c r="J31" s="78">
        <f>F31-I31</f>
        <v>0</v>
      </c>
      <c r="K31" s="82"/>
      <c r="N31" s="85"/>
    </row>
    <row r="32" spans="1:19" customFormat="1" ht="15.75" hidden="1" x14ac:dyDescent="0.25">
      <c r="A32" s="168" t="s">
        <v>365</v>
      </c>
      <c r="B32" s="69" t="s">
        <v>366</v>
      </c>
      <c r="C32" s="173"/>
      <c r="D32" s="69"/>
      <c r="E32" s="69"/>
      <c r="F32" s="106" t="e">
        <f>+SUMIF('[2]BC Balance Comprobación'!A:A,'ESF - Situación Financiera'!A32,'[2]BC Balance Comprobación'!D:D)</f>
        <v>#VALUE!</v>
      </c>
      <c r="G32" s="169"/>
      <c r="H32" s="106" t="e">
        <f>+SUMIF('[2]BC Balance Comprobación'!A:A,'ESF - Situación Financiera'!A32,'[2]BC Balance Comprobación'!F:F)</f>
        <v>#VALUE!</v>
      </c>
      <c r="I32" s="106"/>
      <c r="J32" s="107"/>
      <c r="K32" s="107"/>
      <c r="L32" s="106" t="e">
        <f t="shared" ref="L32:L39" si="1">+F32+H32</f>
        <v>#VALUE!</v>
      </c>
      <c r="M32" s="107"/>
      <c r="N32" s="170"/>
      <c r="O32" s="107"/>
      <c r="P32" s="107"/>
    </row>
    <row r="33" spans="1:19" customFormat="1" ht="15.75" hidden="1" x14ac:dyDescent="0.25">
      <c r="A33" s="168" t="s">
        <v>367</v>
      </c>
      <c r="B33" s="69" t="s">
        <v>368</v>
      </c>
      <c r="C33" s="81"/>
      <c r="D33" s="69"/>
      <c r="E33" s="69"/>
      <c r="F33" s="106" t="e">
        <f>+SUMIF('[2]BC Balance Comprobación'!A:A,'ESF - Situación Financiera'!A33,'[2]BC Balance Comprobación'!D:D)</f>
        <v>#VALUE!</v>
      </c>
      <c r="G33" s="169"/>
      <c r="H33" s="106" t="e">
        <f>+SUMIF('[2]BC Balance Comprobación'!A:A,'ESF - Situación Financiera'!A33,'[2]BC Balance Comprobación'!F:F)</f>
        <v>#VALUE!</v>
      </c>
      <c r="I33" s="106"/>
      <c r="J33" s="107"/>
      <c r="K33" s="107"/>
      <c r="L33" s="106" t="e">
        <f t="shared" si="1"/>
        <v>#VALUE!</v>
      </c>
      <c r="M33" s="107"/>
      <c r="N33" s="170"/>
      <c r="O33" s="107"/>
      <c r="P33" s="107"/>
    </row>
    <row r="34" spans="1:19" customFormat="1" ht="15.75" hidden="1" x14ac:dyDescent="0.25">
      <c r="A34" s="168" t="s">
        <v>85</v>
      </c>
      <c r="B34" s="69" t="s">
        <v>369</v>
      </c>
      <c r="C34" s="81">
        <v>9152526.0999999996</v>
      </c>
      <c r="D34" s="69"/>
      <c r="E34" s="69"/>
      <c r="F34" s="106" t="e">
        <f>+SUMIF('[2]BC Balance Comprobación'!A:A,'ESF - Situación Financiera'!A34,'[2]BC Balance Comprobación'!D:D)</f>
        <v>#VALUE!</v>
      </c>
      <c r="G34" s="169"/>
      <c r="H34" s="106" t="e">
        <f>+SUMIF('[2]BC Balance Comprobación'!A:A,'ESF - Situación Financiera'!A34,'[2]BC Balance Comprobación'!F:F)</f>
        <v>#VALUE!</v>
      </c>
      <c r="I34" s="106"/>
      <c r="J34" s="107"/>
      <c r="K34" s="107"/>
      <c r="L34" s="106" t="e">
        <f t="shared" si="1"/>
        <v>#VALUE!</v>
      </c>
      <c r="M34" s="107"/>
      <c r="N34" s="170"/>
      <c r="O34" s="107"/>
      <c r="P34" s="107"/>
    </row>
    <row r="35" spans="1:19" customFormat="1" hidden="1" x14ac:dyDescent="0.25">
      <c r="A35" s="168" t="s">
        <v>87</v>
      </c>
      <c r="B35" s="69" t="s">
        <v>370</v>
      </c>
      <c r="C35" s="174">
        <v>388865.78</v>
      </c>
      <c r="D35" s="69"/>
      <c r="E35" s="69"/>
      <c r="F35" s="106" t="e">
        <f>+SUMIF('[2]BC Balance Comprobación'!A:A,'ESF - Situación Financiera'!A35,'[2]BC Balance Comprobación'!D:D)</f>
        <v>#VALUE!</v>
      </c>
      <c r="G35" s="169"/>
      <c r="H35" s="106" t="e">
        <f>+SUMIF('[2]BC Balance Comprobación'!A:A,'ESF - Situación Financiera'!A35,'[2]BC Balance Comprobación'!F:F)</f>
        <v>#VALUE!</v>
      </c>
      <c r="I35" s="106"/>
      <c r="J35" s="107"/>
      <c r="K35" s="107"/>
      <c r="L35" s="106" t="e">
        <f t="shared" si="1"/>
        <v>#VALUE!</v>
      </c>
      <c r="M35" s="107"/>
      <c r="N35" s="170"/>
      <c r="O35" s="107"/>
      <c r="P35" s="107"/>
    </row>
    <row r="36" spans="1:19" ht="15.75" x14ac:dyDescent="0.25">
      <c r="A36" s="68" t="s">
        <v>53</v>
      </c>
      <c r="B36" s="69" t="s">
        <v>371</v>
      </c>
      <c r="C36" s="79">
        <f>'[2]BC Balance Comprobación'!B21+'[2]BC Balance Comprobación'!B22</f>
        <v>0</v>
      </c>
      <c r="D36" s="75"/>
      <c r="E36" s="75"/>
      <c r="F36" s="89">
        <f>'BC Balance Comprobación'!D25+'BC Balance Comprobación'!D26</f>
        <v>86300539.149999976</v>
      </c>
      <c r="G36" s="83"/>
      <c r="H36" s="75"/>
      <c r="I36" s="75">
        <v>73263524</v>
      </c>
      <c r="J36" s="78">
        <f>F36-I36</f>
        <v>13037015.149999976</v>
      </c>
      <c r="K36" s="87"/>
      <c r="L36" s="78">
        <f t="shared" si="1"/>
        <v>86300539.149999976</v>
      </c>
      <c r="M36" s="87"/>
      <c r="N36" s="85"/>
      <c r="S36" s="124"/>
    </row>
    <row r="37" spans="1:19" ht="15.75" hidden="1" x14ac:dyDescent="0.25">
      <c r="A37" s="68" t="s">
        <v>57</v>
      </c>
      <c r="B37" s="69" t="s">
        <v>372</v>
      </c>
      <c r="C37" s="80"/>
      <c r="F37" s="89" t="e">
        <f>+SUMIF('[2]BC Balance Comprobación'!A:A,'ESF - Situación Financiera'!A37,'[2]BC Balance Comprobación'!D:D)</f>
        <v>#VALUE!</v>
      </c>
      <c r="G37" s="175"/>
      <c r="H37" s="89" t="e">
        <f>+SUMIF('[2]BC Balance Comprobación'!A:A,'ESF - Situación Financiera'!A37,'[2]BC Balance Comprobación'!F:F)</f>
        <v>#VALUE!</v>
      </c>
      <c r="I37" s="78"/>
      <c r="K37" s="176"/>
      <c r="L37" s="78" t="e">
        <f t="shared" si="1"/>
        <v>#VALUE!</v>
      </c>
      <c r="N37" s="85"/>
    </row>
    <row r="38" spans="1:19" customFormat="1" ht="15.75" hidden="1" x14ac:dyDescent="0.25">
      <c r="A38" s="168" t="s">
        <v>91</v>
      </c>
      <c r="B38" s="177" t="s">
        <v>373</v>
      </c>
      <c r="C38" s="75">
        <v>0</v>
      </c>
      <c r="D38" s="177"/>
      <c r="E38" s="177"/>
      <c r="F38" s="178" t="e">
        <f>+SUMIF('[2]BC Balance Comprobación'!A:A,'ESF - Situación Financiera'!A38,'[2]BC Balance Comprobación'!D:D)</f>
        <v>#VALUE!</v>
      </c>
      <c r="G38" s="169"/>
      <c r="H38" s="106" t="e">
        <f>+SUMIF('[2]BC Balance Comprobación'!A:A,'ESF - Situación Financiera'!A38,'[2]BC Balance Comprobación'!F:F)</f>
        <v>#VALUE!</v>
      </c>
      <c r="I38" s="106"/>
      <c r="J38" s="171" t="s">
        <v>374</v>
      </c>
      <c r="K38" s="147"/>
      <c r="L38" s="106" t="e">
        <f t="shared" si="1"/>
        <v>#VALUE!</v>
      </c>
      <c r="M38" s="147"/>
      <c r="N38" s="170"/>
      <c r="O38" s="107"/>
      <c r="P38" s="107"/>
    </row>
    <row r="39" spans="1:19" ht="15.75" x14ac:dyDescent="0.25">
      <c r="B39" s="205" t="s">
        <v>375</v>
      </c>
      <c r="C39" s="80">
        <f>SUM(C32:C38)</f>
        <v>9541391.879999999</v>
      </c>
      <c r="D39" s="81"/>
      <c r="E39" s="81"/>
      <c r="F39" s="207">
        <f>F36</f>
        <v>86300539.149999976</v>
      </c>
      <c r="G39" s="81"/>
      <c r="H39" s="81"/>
      <c r="I39" s="80">
        <f>SUM(I32:I38)</f>
        <v>73263524</v>
      </c>
      <c r="J39" s="78">
        <f t="shared" ref="J39:J44" si="2">F39-I39</f>
        <v>13037015.149999976</v>
      </c>
      <c r="K39" s="87"/>
      <c r="L39" s="78">
        <f t="shared" si="1"/>
        <v>86300539.149999976</v>
      </c>
      <c r="M39" s="87"/>
      <c r="N39" s="85"/>
      <c r="S39" s="124"/>
    </row>
    <row r="40" spans="1:19" ht="15.75" x14ac:dyDescent="0.25">
      <c r="C40" s="81"/>
      <c r="D40" s="81"/>
      <c r="E40" s="81"/>
      <c r="F40" s="91"/>
      <c r="G40" s="83"/>
      <c r="H40" s="81"/>
      <c r="I40" s="81"/>
      <c r="J40" s="78">
        <f t="shared" si="2"/>
        <v>0</v>
      </c>
      <c r="K40" s="78"/>
      <c r="L40" s="78"/>
      <c r="N40" s="85"/>
    </row>
    <row r="41" spans="1:19" ht="16.5" thickBot="1" x14ac:dyDescent="0.3">
      <c r="B41" s="205" t="s">
        <v>376</v>
      </c>
      <c r="C41" s="88">
        <f>SUM(C39,C29)</f>
        <v>9541391.879999999</v>
      </c>
      <c r="D41" s="81"/>
      <c r="E41" s="81"/>
      <c r="F41" s="90">
        <f>SUM(F39,F29)</f>
        <v>112716464.53999998</v>
      </c>
      <c r="G41" s="81"/>
      <c r="H41" s="81"/>
      <c r="I41" s="88">
        <f>SUM(I39,I29)</f>
        <v>99036096</v>
      </c>
      <c r="J41" s="78">
        <f t="shared" si="2"/>
        <v>13680368.539999977</v>
      </c>
      <c r="K41" s="78"/>
      <c r="L41" s="78">
        <f>+F41+H41</f>
        <v>112716464.53999998</v>
      </c>
      <c r="M41" s="154"/>
      <c r="N41" s="85"/>
      <c r="S41" s="124"/>
    </row>
    <row r="42" spans="1:19" ht="16.5" thickTop="1" x14ac:dyDescent="0.25">
      <c r="B42" s="69" t="s">
        <v>258</v>
      </c>
      <c r="C42" s="75"/>
      <c r="D42" s="75"/>
      <c r="E42" s="75"/>
      <c r="F42" s="78"/>
      <c r="G42" s="75"/>
      <c r="H42" s="75"/>
      <c r="I42" s="75"/>
      <c r="J42" s="78">
        <f t="shared" si="2"/>
        <v>0</v>
      </c>
      <c r="K42" s="78"/>
      <c r="N42" s="85"/>
    </row>
    <row r="43" spans="1:19" ht="15.75" x14ac:dyDescent="0.25">
      <c r="B43" s="205" t="s">
        <v>377</v>
      </c>
      <c r="C43" s="75"/>
      <c r="D43" s="75"/>
      <c r="E43" s="75"/>
      <c r="F43" s="78"/>
      <c r="G43" s="75"/>
      <c r="H43" s="75"/>
      <c r="I43" s="75"/>
      <c r="J43" s="78">
        <f t="shared" si="2"/>
        <v>0</v>
      </c>
      <c r="K43" s="78"/>
      <c r="N43" s="85"/>
    </row>
    <row r="44" spans="1:19" ht="15.75" x14ac:dyDescent="0.25">
      <c r="B44" s="205" t="s">
        <v>454</v>
      </c>
      <c r="C44" s="83"/>
      <c r="D44" s="83"/>
      <c r="E44" s="83"/>
      <c r="F44" s="175"/>
      <c r="G44" s="83"/>
      <c r="H44" s="83"/>
      <c r="I44" s="83"/>
      <c r="J44" s="78">
        <f t="shared" si="2"/>
        <v>0</v>
      </c>
      <c r="K44" s="78"/>
      <c r="N44" s="85"/>
    </row>
    <row r="45" spans="1:19" customFormat="1" ht="15.75" x14ac:dyDescent="0.25">
      <c r="A45" s="168" t="s">
        <v>94</v>
      </c>
      <c r="B45" s="69" t="s">
        <v>455</v>
      </c>
      <c r="C45" s="81">
        <v>37695935</v>
      </c>
      <c r="D45" s="69"/>
      <c r="E45" s="69"/>
      <c r="F45" s="106"/>
      <c r="G45" s="106"/>
      <c r="H45" s="106"/>
      <c r="I45" s="106"/>
      <c r="J45" s="107"/>
      <c r="K45" s="107"/>
      <c r="L45" s="106">
        <f t="shared" ref="L45:L54" si="3">+F45+H45</f>
        <v>0</v>
      </c>
      <c r="M45" s="107"/>
      <c r="N45" s="170"/>
      <c r="O45" s="107"/>
      <c r="P45" s="107"/>
    </row>
    <row r="46" spans="1:19" ht="15.75" x14ac:dyDescent="0.25">
      <c r="A46" s="68" t="s">
        <v>61</v>
      </c>
      <c r="B46" s="69" t="s">
        <v>378</v>
      </c>
      <c r="C46" s="148"/>
      <c r="D46" s="148"/>
      <c r="E46" s="148"/>
      <c r="F46" s="208">
        <f>-'BC Balance Comprobación'!D31</f>
        <v>14841761.300000001</v>
      </c>
      <c r="G46" s="175"/>
      <c r="H46" s="78"/>
      <c r="I46" s="179">
        <v>9644835</v>
      </c>
      <c r="K46" s="82"/>
      <c r="L46" s="78">
        <f t="shared" si="3"/>
        <v>14841761.300000001</v>
      </c>
      <c r="M46" s="87"/>
      <c r="N46" s="85"/>
      <c r="O46" s="180"/>
      <c r="S46" s="117"/>
    </row>
    <row r="47" spans="1:19" customFormat="1" ht="15.75" hidden="1" x14ac:dyDescent="0.25">
      <c r="A47" s="168" t="s">
        <v>97</v>
      </c>
      <c r="B47" s="69" t="s">
        <v>379</v>
      </c>
      <c r="C47" s="77"/>
      <c r="D47" s="69"/>
      <c r="E47" s="69"/>
      <c r="F47" s="106" t="e">
        <f>-SUMIF('[2]BC Balance Comprobación'!A:A,'ESF - Situación Financiera'!A47,'[2]BC Balance Comprobación'!D:D)</f>
        <v>#VALUE!</v>
      </c>
      <c r="G47" s="169"/>
      <c r="H47" s="106"/>
      <c r="I47" s="106"/>
      <c r="J47" s="107"/>
      <c r="K47" s="107"/>
      <c r="L47" s="106" t="e">
        <f t="shared" si="3"/>
        <v>#VALUE!</v>
      </c>
      <c r="M47" s="107">
        <v>1056046.82</v>
      </c>
      <c r="N47" s="170"/>
      <c r="O47" s="107"/>
      <c r="P47" s="107"/>
    </row>
    <row r="48" spans="1:19" customFormat="1" ht="15.75" hidden="1" x14ac:dyDescent="0.25">
      <c r="A48" s="168" t="s">
        <v>100</v>
      </c>
      <c r="B48" s="69" t="s">
        <v>380</v>
      </c>
      <c r="C48" s="81">
        <v>103133398.63999999</v>
      </c>
      <c r="D48" s="69"/>
      <c r="E48" s="69"/>
      <c r="F48" s="106" t="e">
        <f>-SUMIF('[2]BC Balance Comprobación'!A:A,'ESF - Situación Financiera'!A48,'[2]BC Balance Comprobación'!D:D)</f>
        <v>#VALUE!</v>
      </c>
      <c r="G48" s="169"/>
      <c r="H48" s="106"/>
      <c r="I48" s="106"/>
      <c r="J48" s="107"/>
      <c r="K48" s="107"/>
      <c r="L48" s="106" t="e">
        <f t="shared" si="3"/>
        <v>#VALUE!</v>
      </c>
      <c r="M48" s="107"/>
      <c r="N48" s="170"/>
      <c r="O48" s="107"/>
      <c r="P48" s="107"/>
    </row>
    <row r="49" spans="1:19" customFormat="1" ht="15.75" x14ac:dyDescent="0.25">
      <c r="A49" s="168" t="s">
        <v>63</v>
      </c>
      <c r="B49" s="69" t="s">
        <v>64</v>
      </c>
      <c r="C49" s="173"/>
      <c r="D49" s="148"/>
      <c r="E49" s="148"/>
      <c r="F49" s="209">
        <f>-'BC Balance Comprobación'!D32</f>
        <v>410770.97</v>
      </c>
      <c r="G49" s="181"/>
      <c r="H49" s="179"/>
      <c r="I49" s="182"/>
      <c r="J49" s="78">
        <f>F49-I49</f>
        <v>410770.97</v>
      </c>
      <c r="K49" s="135"/>
      <c r="L49" s="106">
        <f t="shared" si="3"/>
        <v>410770.97</v>
      </c>
      <c r="M49" s="106"/>
      <c r="N49" s="170"/>
      <c r="O49" s="180"/>
      <c r="P49" s="107"/>
    </row>
    <row r="50" spans="1:19" customFormat="1" ht="15.75" hidden="1" x14ac:dyDescent="0.25">
      <c r="A50" s="168" t="s">
        <v>381</v>
      </c>
      <c r="B50" s="69" t="s">
        <v>382</v>
      </c>
      <c r="C50" s="81"/>
      <c r="D50" s="69"/>
      <c r="E50" s="69"/>
      <c r="F50" s="106" t="e">
        <f>-SUMIF('[2]BC Balance Comprobación'!A:A,'ESF - Situación Financiera'!A50,'[2]BC Balance Comprobación'!D:D)</f>
        <v>#VALUE!</v>
      </c>
      <c r="G50" s="169"/>
      <c r="H50" s="106" t="e">
        <f>-SUMIF('[2]BC Balance Comprobación'!A:A,'ESF - Situación Financiera'!A50,'[2]BC Balance Comprobación'!F:F)</f>
        <v>#VALUE!</v>
      </c>
      <c r="I50" s="106"/>
      <c r="J50" s="107"/>
      <c r="K50" s="107"/>
      <c r="L50" s="106" t="e">
        <f t="shared" si="3"/>
        <v>#VALUE!</v>
      </c>
      <c r="M50" s="107"/>
      <c r="N50" s="170"/>
      <c r="O50" s="107"/>
      <c r="P50" s="107"/>
    </row>
    <row r="51" spans="1:19" customFormat="1" hidden="1" x14ac:dyDescent="0.25">
      <c r="A51" s="168" t="s">
        <v>383</v>
      </c>
      <c r="B51" s="69" t="s">
        <v>384</v>
      </c>
      <c r="C51" s="69"/>
      <c r="D51" s="69"/>
      <c r="E51" s="69"/>
      <c r="F51" s="106" t="e">
        <f>-SUMIF('[2]BC Balance Comprobación'!A:A,'ESF - Situación Financiera'!A51,'[2]BC Balance Comprobación'!D:D)</f>
        <v>#VALUE!</v>
      </c>
      <c r="G51" s="169"/>
      <c r="H51" s="106" t="e">
        <f>-SUMIF('[2]BC Balance Comprobación'!A:A,'ESF - Situación Financiera'!A51,'[2]BC Balance Comprobación'!F:F)</f>
        <v>#VALUE!</v>
      </c>
      <c r="I51" s="106"/>
      <c r="J51" s="107"/>
      <c r="K51" s="107"/>
      <c r="L51" s="106" t="e">
        <f t="shared" si="3"/>
        <v>#VALUE!</v>
      </c>
      <c r="M51" s="107"/>
      <c r="N51" s="170"/>
      <c r="O51" s="107"/>
      <c r="P51" s="107"/>
    </row>
    <row r="52" spans="1:19" customFormat="1" hidden="1" x14ac:dyDescent="0.25">
      <c r="A52" s="168" t="s">
        <v>385</v>
      </c>
      <c r="B52" s="69" t="s">
        <v>386</v>
      </c>
      <c r="C52" s="69"/>
      <c r="D52" s="69"/>
      <c r="E52" s="69"/>
      <c r="F52" s="106" t="e">
        <f>-SUMIF('[2]BC Balance Comprobación'!A:A,'ESF - Situación Financiera'!A52,'[2]BC Balance Comprobación'!D:D)</f>
        <v>#VALUE!</v>
      </c>
      <c r="G52" s="169"/>
      <c r="H52" s="106"/>
      <c r="I52" s="106"/>
      <c r="J52" s="107"/>
      <c r="K52" s="107"/>
      <c r="L52" s="106" t="e">
        <f t="shared" si="3"/>
        <v>#VALUE!</v>
      </c>
      <c r="M52" s="107"/>
      <c r="N52" s="170"/>
      <c r="O52" s="107"/>
      <c r="P52" s="107"/>
    </row>
    <row r="53" spans="1:19" customFormat="1" x14ac:dyDescent="0.25">
      <c r="A53" s="168" t="s">
        <v>387</v>
      </c>
      <c r="B53" s="69" t="s">
        <v>388</v>
      </c>
      <c r="C53" s="69"/>
      <c r="D53" s="69"/>
      <c r="E53" s="69"/>
      <c r="F53" s="172">
        <v>0</v>
      </c>
      <c r="G53" s="169"/>
      <c r="H53" s="106"/>
      <c r="I53" s="172"/>
      <c r="J53" s="78">
        <f>F53-I53</f>
        <v>0</v>
      </c>
      <c r="K53" s="106"/>
      <c r="L53" s="106">
        <f t="shared" si="3"/>
        <v>0</v>
      </c>
      <c r="M53" s="107"/>
      <c r="N53" s="170"/>
      <c r="O53" s="107"/>
      <c r="P53" s="107"/>
    </row>
    <row r="54" spans="1:19" ht="15.75" x14ac:dyDescent="0.25">
      <c r="B54" s="205" t="s">
        <v>389</v>
      </c>
      <c r="C54" s="81">
        <f>SUBTOTAL(9,C45:C53)</f>
        <v>37695935</v>
      </c>
      <c r="D54" s="81"/>
      <c r="E54" s="81"/>
      <c r="F54" s="206">
        <f>SUBTOTAL(9,F45:F53)</f>
        <v>15252532.270000001</v>
      </c>
      <c r="G54" s="81"/>
      <c r="H54" s="81"/>
      <c r="I54" s="81">
        <f>SUBTOTAL(9,I46:I53)</f>
        <v>9644835</v>
      </c>
      <c r="J54" s="78">
        <f>F54-I54</f>
        <v>5607697.2700000014</v>
      </c>
      <c r="K54" s="78"/>
      <c r="L54" s="78">
        <f t="shared" si="3"/>
        <v>15252532.270000001</v>
      </c>
      <c r="M54" s="78"/>
      <c r="N54" s="135"/>
      <c r="O54" s="82"/>
      <c r="Q54" s="117"/>
      <c r="S54" s="117"/>
    </row>
    <row r="55" spans="1:19" ht="15.75" x14ac:dyDescent="0.25">
      <c r="C55" s="81"/>
      <c r="D55" s="81"/>
      <c r="E55" s="81"/>
      <c r="F55" s="91"/>
      <c r="G55" s="83"/>
      <c r="H55" s="75"/>
      <c r="I55" s="75"/>
      <c r="J55" s="78">
        <f>F55-I55</f>
        <v>0</v>
      </c>
      <c r="K55" s="78"/>
      <c r="L55" s="78"/>
      <c r="N55" s="85"/>
    </row>
    <row r="56" spans="1:19" customFormat="1" x14ac:dyDescent="0.25">
      <c r="A56" s="168"/>
      <c r="B56" s="183" t="s">
        <v>390</v>
      </c>
      <c r="C56" s="174">
        <f>C57+C58+C59+C60+C61+C62+C63</f>
        <v>0</v>
      </c>
      <c r="D56" s="174"/>
      <c r="E56" s="174"/>
      <c r="F56" s="174">
        <v>0</v>
      </c>
      <c r="G56" s="174"/>
      <c r="H56" s="174"/>
      <c r="I56" s="174">
        <f>I57+I58+I59+I60+I61+I62+I63</f>
        <v>0</v>
      </c>
      <c r="J56" s="78">
        <f>F56-I56</f>
        <v>0</v>
      </c>
      <c r="K56" s="106"/>
      <c r="L56" s="106">
        <f t="shared" ref="L56:L64" si="4">+F56+H56</f>
        <v>0</v>
      </c>
      <c r="M56" s="135"/>
      <c r="N56" s="170"/>
      <c r="O56" s="135"/>
      <c r="P56" s="107"/>
    </row>
    <row r="57" spans="1:19" customFormat="1" ht="27.75" hidden="1" customHeight="1" x14ac:dyDescent="0.25">
      <c r="A57" s="168" t="s">
        <v>391</v>
      </c>
      <c r="B57" s="69" t="s">
        <v>392</v>
      </c>
      <c r="C57" s="69"/>
      <c r="D57" s="69"/>
      <c r="E57" s="69"/>
      <c r="F57" s="106" t="e">
        <f>-SUMIF('[2]BC Balance Comprobación'!A:A,'ESF - Situación Financiera'!A57,'[2]BC Balance Comprobación'!D:D)</f>
        <v>#VALUE!</v>
      </c>
      <c r="G57" s="169"/>
      <c r="H57" s="106" t="e">
        <f>-SUMIF('[2]BC Balance Comprobación'!A:A,'ESF - Situación Financiera'!A57,'[2]BC Balance Comprobación'!F:F)</f>
        <v>#VALUE!</v>
      </c>
      <c r="I57" s="106"/>
      <c r="J57" s="107"/>
      <c r="K57" s="107"/>
      <c r="L57" s="106" t="e">
        <f t="shared" si="4"/>
        <v>#VALUE!</v>
      </c>
      <c r="M57" s="107"/>
      <c r="N57" s="170"/>
      <c r="O57" s="107"/>
      <c r="P57" s="107"/>
    </row>
    <row r="58" spans="1:19" customFormat="1" ht="27.75" hidden="1" customHeight="1" x14ac:dyDescent="0.25">
      <c r="A58" s="168" t="s">
        <v>393</v>
      </c>
      <c r="B58" s="69" t="s">
        <v>394</v>
      </c>
      <c r="C58" s="69"/>
      <c r="D58" s="69"/>
      <c r="E58" s="69"/>
      <c r="F58" s="106" t="e">
        <f>-SUMIF('[2]BC Balance Comprobación'!A:A,'ESF - Situación Financiera'!A58,'[2]BC Balance Comprobación'!D:D)</f>
        <v>#VALUE!</v>
      </c>
      <c r="G58" s="169"/>
      <c r="H58" s="106" t="e">
        <f>-SUMIF('[2]BC Balance Comprobación'!A:A,'ESF - Situación Financiera'!A58,'[2]BC Balance Comprobación'!F:F)</f>
        <v>#VALUE!</v>
      </c>
      <c r="I58" s="106"/>
      <c r="J58" s="107"/>
      <c r="K58" s="107"/>
      <c r="L58" s="106" t="e">
        <f t="shared" si="4"/>
        <v>#VALUE!</v>
      </c>
      <c r="M58" s="107"/>
      <c r="N58" s="170"/>
      <c r="O58" s="107"/>
      <c r="P58" s="107"/>
    </row>
    <row r="59" spans="1:19" customFormat="1" ht="27.75" hidden="1" customHeight="1" x14ac:dyDescent="0.25">
      <c r="A59" s="168" t="s">
        <v>395</v>
      </c>
      <c r="B59" s="69" t="s">
        <v>396</v>
      </c>
      <c r="C59" s="69"/>
      <c r="D59" s="69"/>
      <c r="E59" s="69"/>
      <c r="F59" s="106" t="e">
        <f>-SUMIF('[2]BC Balance Comprobación'!A:A,'ESF - Situación Financiera'!A59,'[2]BC Balance Comprobación'!D:D)</f>
        <v>#VALUE!</v>
      </c>
      <c r="G59" s="169"/>
      <c r="H59" s="106" t="e">
        <f>-SUMIF('[2]BC Balance Comprobación'!A:A,'ESF - Situación Financiera'!A59,'[2]BC Balance Comprobación'!F:F)</f>
        <v>#VALUE!</v>
      </c>
      <c r="I59" s="106"/>
      <c r="J59" s="107"/>
      <c r="K59" s="107"/>
      <c r="L59" s="106" t="e">
        <f t="shared" si="4"/>
        <v>#VALUE!</v>
      </c>
      <c r="M59" s="107"/>
      <c r="N59" s="170"/>
      <c r="O59" s="107"/>
      <c r="P59" s="107"/>
    </row>
    <row r="60" spans="1:19" customFormat="1" ht="27.75" hidden="1" customHeight="1" x14ac:dyDescent="0.25">
      <c r="A60" s="168" t="s">
        <v>397</v>
      </c>
      <c r="B60" s="69" t="s">
        <v>398</v>
      </c>
      <c r="C60" s="69"/>
      <c r="D60" s="69"/>
      <c r="E60" s="69"/>
      <c r="F60" s="106" t="e">
        <f>-SUMIF('[2]BC Balance Comprobación'!A:A,'ESF - Situación Financiera'!A60,'[2]BC Balance Comprobación'!D:D)</f>
        <v>#VALUE!</v>
      </c>
      <c r="G60" s="169"/>
      <c r="H60" s="106" t="e">
        <f>-SUMIF('[2]BC Balance Comprobación'!A:A,'ESF - Situación Financiera'!A60,'[2]BC Balance Comprobación'!F:F)</f>
        <v>#VALUE!</v>
      </c>
      <c r="I60" s="106"/>
      <c r="J60" s="107"/>
      <c r="K60" s="107"/>
      <c r="L60" s="106" t="e">
        <f t="shared" si="4"/>
        <v>#VALUE!</v>
      </c>
      <c r="M60" s="107"/>
      <c r="N60" s="170"/>
      <c r="O60" s="107"/>
      <c r="P60" s="107"/>
    </row>
    <row r="61" spans="1:19" customFormat="1" ht="27.75" hidden="1" customHeight="1" x14ac:dyDescent="0.25">
      <c r="A61" s="168" t="s">
        <v>399</v>
      </c>
      <c r="B61" s="69" t="s">
        <v>400</v>
      </c>
      <c r="C61" s="69"/>
      <c r="D61" s="69"/>
      <c r="E61" s="69"/>
      <c r="F61" s="106" t="e">
        <f>-SUMIF('[2]BC Balance Comprobación'!A:A,'ESF - Situación Financiera'!A61,'[2]BC Balance Comprobación'!D:D)</f>
        <v>#VALUE!</v>
      </c>
      <c r="G61" s="169"/>
      <c r="H61" s="106" t="e">
        <f>-SUMIF('[2]BC Balance Comprobación'!A:A,'ESF - Situación Financiera'!A61,'[2]BC Balance Comprobación'!F:F)</f>
        <v>#VALUE!</v>
      </c>
      <c r="I61" s="106"/>
      <c r="J61" s="107"/>
      <c r="K61" s="107"/>
      <c r="L61" s="106" t="e">
        <f t="shared" si="4"/>
        <v>#VALUE!</v>
      </c>
      <c r="M61" s="107"/>
      <c r="N61" s="170"/>
      <c r="O61" s="107"/>
      <c r="P61" s="107"/>
    </row>
    <row r="62" spans="1:19" customFormat="1" hidden="1" x14ac:dyDescent="0.25">
      <c r="A62" s="168" t="s">
        <v>401</v>
      </c>
      <c r="B62" s="69" t="s">
        <v>402</v>
      </c>
      <c r="C62" s="69"/>
      <c r="D62" s="69"/>
      <c r="E62" s="69"/>
      <c r="F62" s="106" t="e">
        <f>-SUMIF('[2]BC Balance Comprobación'!A:A,'ESF - Situación Financiera'!A62,'[2]BC Balance Comprobación'!D:D)</f>
        <v>#VALUE!</v>
      </c>
      <c r="G62" s="169"/>
      <c r="H62" s="106" t="e">
        <f>-SUMIF('[2]BC Balance Comprobación'!A:A,'ESF - Situación Financiera'!A62,'[2]BC Balance Comprobación'!F:F)</f>
        <v>#VALUE!</v>
      </c>
      <c r="I62" s="106"/>
      <c r="J62" s="107"/>
      <c r="K62" s="107"/>
      <c r="L62" s="106" t="e">
        <f t="shared" si="4"/>
        <v>#VALUE!</v>
      </c>
      <c r="M62" s="107"/>
      <c r="N62" s="170"/>
      <c r="O62" s="107"/>
      <c r="P62" s="107"/>
    </row>
    <row r="63" spans="1:19" customFormat="1" x14ac:dyDescent="0.25">
      <c r="A63" s="168"/>
      <c r="B63" s="107" t="s">
        <v>403</v>
      </c>
      <c r="C63" s="184">
        <v>0</v>
      </c>
      <c r="D63" s="87"/>
      <c r="E63" s="87"/>
      <c r="F63" s="184">
        <v>0</v>
      </c>
      <c r="G63" s="87"/>
      <c r="H63" s="87"/>
      <c r="I63" s="184">
        <v>0</v>
      </c>
      <c r="J63" s="78">
        <f t="shared" ref="J63:J73" si="5">F63-I63</f>
        <v>0</v>
      </c>
      <c r="K63" s="106"/>
      <c r="L63" s="106">
        <f t="shared" si="4"/>
        <v>0</v>
      </c>
      <c r="M63" s="107"/>
      <c r="N63" s="170"/>
      <c r="O63" s="107"/>
      <c r="P63" s="107"/>
    </row>
    <row r="64" spans="1:19" ht="23.25" customHeight="1" x14ac:dyDescent="0.25">
      <c r="B64" s="205" t="s">
        <v>404</v>
      </c>
      <c r="C64" s="80">
        <f>SUM(C54,C63)</f>
        <v>37695935</v>
      </c>
      <c r="D64" s="81"/>
      <c r="E64" s="81"/>
      <c r="F64" s="206">
        <f>SUM(F54,F63)</f>
        <v>15252532.270000001</v>
      </c>
      <c r="G64" s="81"/>
      <c r="H64" s="81"/>
      <c r="I64" s="80">
        <f>SUM(I54,I63)</f>
        <v>9644835</v>
      </c>
      <c r="J64" s="78">
        <f t="shared" si="5"/>
        <v>5607697.2700000014</v>
      </c>
      <c r="K64" s="78"/>
      <c r="L64" s="78">
        <f t="shared" si="4"/>
        <v>15252532.270000001</v>
      </c>
      <c r="N64" s="85"/>
    </row>
    <row r="65" spans="1:20" ht="15.75" x14ac:dyDescent="0.25">
      <c r="C65" s="75"/>
      <c r="D65" s="75"/>
      <c r="E65" s="75"/>
      <c r="F65" s="78"/>
      <c r="G65" s="75"/>
      <c r="H65" s="75"/>
      <c r="I65" s="75"/>
      <c r="J65" s="78">
        <f t="shared" si="5"/>
        <v>0</v>
      </c>
      <c r="K65" s="78"/>
      <c r="N65" s="85"/>
      <c r="O65" s="82"/>
    </row>
    <row r="66" spans="1:20" ht="15.75" x14ac:dyDescent="0.25">
      <c r="B66" s="205" t="s">
        <v>405</v>
      </c>
      <c r="C66" s="75"/>
      <c r="D66" s="75"/>
      <c r="E66" s="75"/>
      <c r="F66" s="78"/>
      <c r="G66" s="75"/>
      <c r="H66" s="75"/>
      <c r="I66" s="75"/>
      <c r="J66" s="78">
        <f t="shared" si="5"/>
        <v>0</v>
      </c>
      <c r="K66" s="87"/>
      <c r="N66" s="85"/>
      <c r="O66" s="82"/>
      <c r="P66" s="69" t="s">
        <v>406</v>
      </c>
      <c r="Q66" s="118">
        <v>4418</v>
      </c>
    </row>
    <row r="67" spans="1:20" customFormat="1" ht="15.75" x14ac:dyDescent="0.25">
      <c r="A67" s="168" t="s">
        <v>407</v>
      </c>
      <c r="B67" s="69" t="s">
        <v>67</v>
      </c>
      <c r="C67" s="179"/>
      <c r="D67" s="179"/>
      <c r="E67" s="179"/>
      <c r="F67" s="106">
        <f>'[2]ECANP-Cambio Patrimonio'!E20</f>
        <v>51695326</v>
      </c>
      <c r="G67" s="179"/>
      <c r="H67" s="179"/>
      <c r="I67" s="179">
        <v>51695326</v>
      </c>
      <c r="J67" s="78">
        <f t="shared" si="5"/>
        <v>0</v>
      </c>
      <c r="K67" s="106"/>
      <c r="L67" s="106">
        <f t="shared" ref="L67:L70" si="6">+F67+H67</f>
        <v>51695326</v>
      </c>
      <c r="M67" s="217"/>
      <c r="N67" s="170"/>
      <c r="O67" s="107"/>
      <c r="P67" s="107"/>
      <c r="S67" s="126"/>
    </row>
    <row r="68" spans="1:20" ht="15.75" x14ac:dyDescent="0.25">
      <c r="A68" s="68" t="s">
        <v>70</v>
      </c>
      <c r="B68" s="70" t="s">
        <v>408</v>
      </c>
      <c r="C68" s="75">
        <f>'[3] ERF-Rendimiento Financiero'!D27</f>
        <v>0</v>
      </c>
      <c r="D68" s="75"/>
      <c r="E68" s="75"/>
      <c r="F68" s="78">
        <f>'ECANP-Cambio Patrimonio'!G13+'ECANP-Cambio Patrimonio'!G15+'ECANP-Cambio Patrimonio'!G16+'ECANP-Cambio Patrimonio'!G17+'ECANP-Cambio Patrimonio'!G18</f>
        <v>49259612.619999975</v>
      </c>
      <c r="G68" s="83"/>
      <c r="H68" s="75"/>
      <c r="I68" s="75">
        <v>38126099</v>
      </c>
      <c r="J68" s="78">
        <f t="shared" si="5"/>
        <v>11133513.619999975</v>
      </c>
      <c r="K68" s="78"/>
      <c r="L68" s="78">
        <f t="shared" si="6"/>
        <v>49259612.619999975</v>
      </c>
      <c r="M68" s="154"/>
      <c r="N68" s="85"/>
      <c r="S68" s="117"/>
    </row>
    <row r="69" spans="1:20" ht="15.75" x14ac:dyDescent="0.25">
      <c r="A69" s="68" t="s">
        <v>68</v>
      </c>
      <c r="B69" s="69" t="s">
        <v>278</v>
      </c>
      <c r="C69" s="79">
        <f>'[2]ECANP-Cambio Patrimonio'!I13+'[2]ECANP-Cambio Patrimonio'!I18</f>
        <v>0</v>
      </c>
      <c r="D69" s="75"/>
      <c r="E69" s="75"/>
      <c r="F69" s="89">
        <f>'ECANP-Cambio Patrimonio'!G19</f>
        <v>-3491006.3499999978</v>
      </c>
      <c r="G69" s="83"/>
      <c r="H69" s="75"/>
      <c r="I69" s="75">
        <v>-430164</v>
      </c>
      <c r="J69" s="78">
        <f t="shared" si="5"/>
        <v>-3060842.3499999978</v>
      </c>
      <c r="K69" s="78"/>
      <c r="L69" s="78">
        <f t="shared" si="6"/>
        <v>-3491006.3499999978</v>
      </c>
      <c r="M69" s="154"/>
      <c r="N69" s="85"/>
      <c r="S69" s="124"/>
    </row>
    <row r="70" spans="1:20" ht="15.75" x14ac:dyDescent="0.25">
      <c r="B70" s="205" t="s">
        <v>409</v>
      </c>
      <c r="C70" s="80">
        <f>SUM(C66:C69)</f>
        <v>0</v>
      </c>
      <c r="D70" s="81"/>
      <c r="E70" s="81"/>
      <c r="F70" s="206">
        <f>SUBTOTAL(9,F67:F69)</f>
        <v>97463932.269999981</v>
      </c>
      <c r="G70" s="81"/>
      <c r="H70" s="81"/>
      <c r="I70" s="80">
        <f>SUM(I66:I69)</f>
        <v>89391261</v>
      </c>
      <c r="J70" s="78">
        <f t="shared" si="5"/>
        <v>8072671.2699999809</v>
      </c>
      <c r="K70" s="78"/>
      <c r="L70" s="78">
        <f t="shared" si="6"/>
        <v>97463932.269999981</v>
      </c>
      <c r="M70" s="154"/>
      <c r="N70" s="85"/>
      <c r="S70" s="117"/>
    </row>
    <row r="71" spans="1:20" ht="15.75" x14ac:dyDescent="0.25">
      <c r="C71" s="77"/>
      <c r="D71" s="77"/>
      <c r="E71" s="77"/>
      <c r="F71" s="180"/>
      <c r="G71" s="77"/>
      <c r="H71" s="77"/>
      <c r="I71" s="77"/>
      <c r="J71" s="78">
        <f t="shared" si="5"/>
        <v>0</v>
      </c>
      <c r="K71" s="78"/>
      <c r="M71" s="82"/>
      <c r="O71" s="78"/>
      <c r="S71" s="117"/>
    </row>
    <row r="72" spans="1:20" ht="27" thickBot="1" x14ac:dyDescent="0.3">
      <c r="B72" s="205" t="s">
        <v>410</v>
      </c>
      <c r="C72" s="88">
        <f>+C64+C70</f>
        <v>37695935</v>
      </c>
      <c r="D72" s="81"/>
      <c r="E72" s="81"/>
      <c r="F72" s="90">
        <f>+F64+F70</f>
        <v>112716464.53999998</v>
      </c>
      <c r="G72" s="81"/>
      <c r="H72" s="81"/>
      <c r="I72" s="88">
        <f>+I64+I70</f>
        <v>99036096</v>
      </c>
      <c r="J72" s="78">
        <f t="shared" si="5"/>
        <v>13680368.539999977</v>
      </c>
      <c r="K72" s="78"/>
      <c r="M72" s="82"/>
      <c r="N72" s="78">
        <f>F41-F72</f>
        <v>0</v>
      </c>
      <c r="S72" s="185"/>
      <c r="T72" s="118"/>
    </row>
    <row r="73" spans="1:20" ht="24" thickTop="1" x14ac:dyDescent="0.25">
      <c r="B73" s="205"/>
      <c r="C73" s="71"/>
      <c r="D73" s="71"/>
      <c r="E73" s="71"/>
      <c r="F73" s="91"/>
      <c r="G73" s="77"/>
      <c r="H73" s="81"/>
      <c r="I73" s="81"/>
      <c r="J73" s="78">
        <f t="shared" si="5"/>
        <v>0</v>
      </c>
      <c r="K73" s="186"/>
      <c r="M73" s="82"/>
      <c r="N73" s="78"/>
      <c r="O73" s="82"/>
    </row>
    <row r="74" spans="1:20" ht="15.75" x14ac:dyDescent="0.25">
      <c r="C74" s="73"/>
      <c r="D74" s="73"/>
      <c r="E74" s="73"/>
      <c r="F74" s="91"/>
      <c r="G74" s="77"/>
      <c r="H74" s="81"/>
      <c r="I74" s="81"/>
      <c r="K74" s="78"/>
    </row>
    <row r="75" spans="1:20" ht="15.75" x14ac:dyDescent="0.25">
      <c r="C75" s="73"/>
      <c r="D75" s="73"/>
      <c r="E75" s="73"/>
      <c r="G75" s="73"/>
      <c r="H75" s="75"/>
      <c r="I75" s="75"/>
      <c r="K75" s="78"/>
      <c r="L75" s="78"/>
    </row>
    <row r="76" spans="1:20" ht="15.75" customHeight="1" x14ac:dyDescent="0.25">
      <c r="B76" s="238" t="s">
        <v>285</v>
      </c>
      <c r="C76" s="239"/>
      <c r="D76" s="239"/>
      <c r="E76" s="239"/>
      <c r="F76" s="238"/>
      <c r="G76" s="84"/>
      <c r="H76" s="84"/>
      <c r="I76" s="84"/>
    </row>
    <row r="77" spans="1:20" ht="15.75" customHeight="1" x14ac:dyDescent="0.25">
      <c r="B77" s="240" t="s">
        <v>286</v>
      </c>
      <c r="C77" s="241"/>
      <c r="D77" s="241"/>
      <c r="E77" s="241"/>
      <c r="F77" s="240"/>
      <c r="G77" s="187"/>
      <c r="H77" s="187"/>
      <c r="I77" s="187"/>
      <c r="J77" s="187"/>
    </row>
    <row r="78" spans="1:20" ht="15.75" hidden="1" x14ac:dyDescent="0.25">
      <c r="B78" s="230" t="s">
        <v>284</v>
      </c>
      <c r="C78" s="230"/>
      <c r="D78" s="230"/>
      <c r="E78" s="230"/>
      <c r="F78" s="230"/>
      <c r="G78" s="73"/>
      <c r="H78" s="84"/>
      <c r="I78" s="84"/>
    </row>
    <row r="79" spans="1:20" ht="18.75" hidden="1" x14ac:dyDescent="0.25">
      <c r="B79" s="92"/>
      <c r="C79" s="92"/>
      <c r="D79" s="92"/>
      <c r="E79" s="92"/>
      <c r="F79" s="92"/>
      <c r="G79" s="73"/>
      <c r="H79" s="75"/>
      <c r="I79" s="75"/>
    </row>
    <row r="80" spans="1:20" ht="15.75" hidden="1" customHeight="1" x14ac:dyDescent="0.25">
      <c r="B80" s="93"/>
      <c r="C80" s="93"/>
      <c r="D80" s="93"/>
      <c r="E80" s="93"/>
      <c r="F80" s="93"/>
      <c r="G80" s="188"/>
      <c r="H80" s="188"/>
      <c r="I80" s="188"/>
      <c r="J80" s="189"/>
    </row>
    <row r="81" spans="2:9" ht="15.75" hidden="1" x14ac:dyDescent="0.25">
      <c r="B81" s="230"/>
      <c r="C81" s="230"/>
      <c r="D81" s="230"/>
      <c r="E81" s="230"/>
      <c r="F81" s="230"/>
      <c r="G81" s="73"/>
      <c r="H81" s="73"/>
      <c r="I81" s="73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ESF - Situación Financiera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'ESF - Situación Financiera'!Área_de_impresión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CRISTIAN FERNANDA  LIRIANO VALERA</cp:lastModifiedBy>
  <cp:lastPrinted>2025-02-10T19:24:07Z</cp:lastPrinted>
  <dcterms:created xsi:type="dcterms:W3CDTF">2022-05-09T16:29:53Z</dcterms:created>
  <dcterms:modified xsi:type="dcterms:W3CDTF">2025-02-24T19:06:25Z</dcterms:modified>
</cp:coreProperties>
</file>